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\KATALOG\KATALOGSIDER\"/>
    </mc:Choice>
  </mc:AlternateContent>
  <bookViews>
    <workbookView xWindow="0" yWindow="0" windowWidth="25200" windowHeight="11985"/>
  </bookViews>
  <sheets>
    <sheet name="2023" sheetId="4" r:id="rId1"/>
    <sheet name="2022" sheetId="8" r:id="rId2"/>
    <sheet name="2021" sheetId="7" r:id="rId3"/>
    <sheet name="2020" sheetId="6" r:id="rId4"/>
    <sheet name="2019" sheetId="1" r:id="rId5"/>
    <sheet name="2018" sheetId="3" r:id="rId6"/>
    <sheet name="2017" sheetId="2" r:id="rId7"/>
  </sheets>
  <definedNames>
    <definedName name="_xlnm.Print_Area" localSheetId="4">'2019'!$B$1:$L$119</definedName>
    <definedName name="_xlnm.Print_Area" localSheetId="0">'2023'!$A$1:$N$148</definedName>
  </definedNames>
  <calcPr calcId="152511"/>
</workbook>
</file>

<file path=xl/calcChain.xml><?xml version="1.0" encoding="utf-8"?>
<calcChain xmlns="http://schemas.openxmlformats.org/spreadsheetml/2006/main">
  <c r="E44" i="4" l="1"/>
  <c r="E115" i="4" l="1"/>
  <c r="E106" i="4"/>
  <c r="E103" i="4"/>
  <c r="E70" i="4"/>
  <c r="E64" i="4"/>
  <c r="E53" i="4"/>
  <c r="E29" i="4"/>
  <c r="E30" i="4"/>
  <c r="E9" i="4"/>
  <c r="H119" i="4"/>
  <c r="H116" i="4"/>
  <c r="H115" i="4"/>
  <c r="H108" i="4"/>
  <c r="H110" i="4" s="1"/>
  <c r="H106" i="4"/>
  <c r="H103" i="4"/>
  <c r="H97" i="4"/>
  <c r="J97" i="4"/>
  <c r="L97" i="4"/>
  <c r="J103" i="4"/>
  <c r="J108" i="4" s="1"/>
  <c r="J110" i="4" s="1"/>
  <c r="L103" i="4"/>
  <c r="L108" i="4" s="1"/>
  <c r="L110" i="4" s="1"/>
  <c r="J115" i="4"/>
  <c r="L115" i="4"/>
  <c r="J117" i="4"/>
  <c r="J119" i="4" s="1"/>
  <c r="J118" i="4"/>
  <c r="L118" i="4"/>
  <c r="L119" i="4"/>
  <c r="H82" i="4"/>
  <c r="H86" i="4" s="1"/>
  <c r="H77" i="4"/>
  <c r="H76" i="4"/>
  <c r="H64" i="4"/>
  <c r="H61" i="4"/>
  <c r="H55" i="4"/>
  <c r="H54" i="4"/>
  <c r="H47" i="4"/>
  <c r="H44" i="4"/>
  <c r="H30" i="4"/>
  <c r="H32" i="4" s="1"/>
  <c r="H34" i="4" s="1"/>
  <c r="H38" i="4" s="1"/>
  <c r="H29" i="4"/>
  <c r="H5" i="4"/>
  <c r="H10" i="4" s="1"/>
  <c r="J5" i="4"/>
  <c r="L5" i="4"/>
  <c r="L8" i="4"/>
  <c r="J9" i="4"/>
  <c r="J10" i="4" s="1"/>
  <c r="J40" i="4" s="1"/>
  <c r="L9" i="4"/>
  <c r="L10" i="4"/>
  <c r="J23" i="4"/>
  <c r="J32" i="4" s="1"/>
  <c r="J34" i="4" s="1"/>
  <c r="J38" i="4" s="1"/>
  <c r="L28" i="4"/>
  <c r="J29" i="4"/>
  <c r="L29" i="4"/>
  <c r="J30" i="4"/>
  <c r="L30" i="4"/>
  <c r="J31" i="4"/>
  <c r="L32" i="4"/>
  <c r="L34" i="4" s="1"/>
  <c r="L38" i="4" s="1"/>
  <c r="J44" i="4"/>
  <c r="L44" i="4"/>
  <c r="J47" i="4"/>
  <c r="L47" i="4"/>
  <c r="J54" i="4"/>
  <c r="J55" i="4"/>
  <c r="L55" i="4"/>
  <c r="L60" i="4"/>
  <c r="L61" i="4" s="1"/>
  <c r="J61" i="4"/>
  <c r="J64" i="4"/>
  <c r="L64" i="4"/>
  <c r="L77" i="4" s="1"/>
  <c r="L65" i="4"/>
  <c r="L69" i="4"/>
  <c r="L71" i="4"/>
  <c r="J77" i="4"/>
  <c r="J86" i="4"/>
  <c r="L86" i="4"/>
  <c r="L118" i="8"/>
  <c r="J117" i="8"/>
  <c r="H117" i="8"/>
  <c r="H116" i="8"/>
  <c r="H118" i="8" s="1"/>
  <c r="E115" i="8"/>
  <c r="J114" i="8"/>
  <c r="J118" i="8" s="1"/>
  <c r="H114" i="8"/>
  <c r="E114" i="8"/>
  <c r="E105" i="8"/>
  <c r="L102" i="8"/>
  <c r="L107" i="8" s="1"/>
  <c r="L109" i="8" s="1"/>
  <c r="J102" i="8"/>
  <c r="J107" i="8" s="1"/>
  <c r="J109" i="8" s="1"/>
  <c r="H102" i="8"/>
  <c r="H107" i="8" s="1"/>
  <c r="E102" i="8"/>
  <c r="E107" i="8" s="1"/>
  <c r="L96" i="8"/>
  <c r="J96" i="8"/>
  <c r="H96" i="8"/>
  <c r="E96" i="8"/>
  <c r="L85" i="8"/>
  <c r="J85" i="8"/>
  <c r="H85" i="8"/>
  <c r="E81" i="8"/>
  <c r="E85" i="8" s="1"/>
  <c r="E75" i="8"/>
  <c r="J70" i="8"/>
  <c r="J68" i="8"/>
  <c r="J64" i="8"/>
  <c r="L63" i="8"/>
  <c r="L76" i="8" s="1"/>
  <c r="J63" i="8"/>
  <c r="H63" i="8"/>
  <c r="H76" i="8" s="1"/>
  <c r="E63" i="8"/>
  <c r="E76" i="8" s="1"/>
  <c r="L60" i="8"/>
  <c r="H60" i="8"/>
  <c r="E60" i="8"/>
  <c r="J59" i="8"/>
  <c r="J60" i="8" s="1"/>
  <c r="L55" i="8"/>
  <c r="J55" i="8"/>
  <c r="H55" i="8"/>
  <c r="H54" i="8"/>
  <c r="E54" i="8"/>
  <c r="E55" i="8" s="1"/>
  <c r="L44" i="8"/>
  <c r="L47" i="8" s="1"/>
  <c r="J44" i="8"/>
  <c r="J47" i="8" s="1"/>
  <c r="H44" i="8"/>
  <c r="H47" i="8" s="1"/>
  <c r="E44" i="8"/>
  <c r="E47" i="8" s="1"/>
  <c r="F33" i="8"/>
  <c r="E33" i="8" s="1"/>
  <c r="H31" i="8"/>
  <c r="L30" i="8"/>
  <c r="J30" i="8"/>
  <c r="H30" i="8"/>
  <c r="E30" i="8"/>
  <c r="L29" i="8"/>
  <c r="J29" i="8"/>
  <c r="H29" i="8"/>
  <c r="E29" i="8"/>
  <c r="E32" i="8" s="1"/>
  <c r="L28" i="8"/>
  <c r="L32" i="8" s="1"/>
  <c r="L34" i="8" s="1"/>
  <c r="L38" i="8" s="1"/>
  <c r="J28" i="8"/>
  <c r="J32" i="8" s="1"/>
  <c r="J34" i="8" s="1"/>
  <c r="J38" i="8" s="1"/>
  <c r="H23" i="8"/>
  <c r="H32" i="8" s="1"/>
  <c r="H34" i="8" s="1"/>
  <c r="H38" i="8" s="1"/>
  <c r="J9" i="8"/>
  <c r="H9" i="8"/>
  <c r="J8" i="8"/>
  <c r="L5" i="8"/>
  <c r="L10" i="8" s="1"/>
  <c r="J5" i="8"/>
  <c r="J10" i="8" s="1"/>
  <c r="H5" i="8"/>
  <c r="H10" i="8" s="1"/>
  <c r="E5" i="8"/>
  <c r="E10" i="8" s="1"/>
  <c r="E109" i="8" l="1"/>
  <c r="J76" i="8"/>
  <c r="H109" i="8"/>
  <c r="H40" i="8"/>
  <c r="H49" i="8" s="1"/>
  <c r="E118" i="8"/>
  <c r="H40" i="4"/>
  <c r="H41" i="4" s="1"/>
  <c r="J49" i="4"/>
  <c r="J41" i="4"/>
  <c r="L40" i="4"/>
  <c r="J40" i="8"/>
  <c r="L40" i="8"/>
  <c r="E34" i="8"/>
  <c r="E38" i="8" s="1"/>
  <c r="E40" i="8" s="1"/>
  <c r="H41" i="8" l="1"/>
  <c r="H49" i="4"/>
  <c r="H50" i="4"/>
  <c r="H79" i="4"/>
  <c r="H88" i="4" s="1"/>
  <c r="H123" i="4" s="1"/>
  <c r="H124" i="4" s="1"/>
  <c r="H126" i="4" s="1"/>
  <c r="L49" i="4"/>
  <c r="L41" i="4"/>
  <c r="J79" i="4"/>
  <c r="J88" i="4" s="1"/>
  <c r="J123" i="4" s="1"/>
  <c r="J124" i="4" s="1"/>
  <c r="J126" i="4" s="1"/>
  <c r="J50" i="4"/>
  <c r="E49" i="8"/>
  <c r="E41" i="8"/>
  <c r="H78" i="8"/>
  <c r="H87" i="8" s="1"/>
  <c r="H122" i="8" s="1"/>
  <c r="H123" i="8" s="1"/>
  <c r="H125" i="8" s="1"/>
  <c r="H50" i="8"/>
  <c r="L49" i="8"/>
  <c r="L41" i="8"/>
  <c r="J49" i="8"/>
  <c r="J41" i="8"/>
  <c r="L79" i="4" l="1"/>
  <c r="L88" i="4" s="1"/>
  <c r="L123" i="4" s="1"/>
  <c r="L124" i="4" s="1"/>
  <c r="L126" i="4" s="1"/>
  <c r="L50" i="4"/>
  <c r="L50" i="8"/>
  <c r="L78" i="8"/>
  <c r="L87" i="8" s="1"/>
  <c r="L122" i="8" s="1"/>
  <c r="L123" i="8" s="1"/>
  <c r="L125" i="8" s="1"/>
  <c r="E78" i="8"/>
  <c r="E87" i="8" s="1"/>
  <c r="E122" i="8" s="1"/>
  <c r="E123" i="8" s="1"/>
  <c r="E125" i="8" s="1"/>
  <c r="E50" i="8"/>
  <c r="J50" i="8"/>
  <c r="J78" i="8"/>
  <c r="J87" i="8" s="1"/>
  <c r="J122" i="8" s="1"/>
  <c r="J123" i="8" s="1"/>
  <c r="J125" i="8" s="1"/>
  <c r="E55" i="4"/>
  <c r="L120" i="7" l="1"/>
  <c r="J120" i="7"/>
  <c r="E118" i="7"/>
  <c r="H116" i="7"/>
  <c r="H120" i="7" s="1"/>
  <c r="E116" i="7"/>
  <c r="L103" i="7"/>
  <c r="L108" i="7" s="1"/>
  <c r="J103" i="7"/>
  <c r="J108" i="7" s="1"/>
  <c r="H103" i="7"/>
  <c r="H108" i="7" s="1"/>
  <c r="E103" i="7"/>
  <c r="E108" i="7" s="1"/>
  <c r="L97" i="7"/>
  <c r="J97" i="7"/>
  <c r="H97" i="7"/>
  <c r="E97" i="7"/>
  <c r="L86" i="7"/>
  <c r="J86" i="7"/>
  <c r="H86" i="7"/>
  <c r="E86" i="7"/>
  <c r="L76" i="7"/>
  <c r="L72" i="7"/>
  <c r="H71" i="7"/>
  <c r="H69" i="7"/>
  <c r="H65" i="7"/>
  <c r="L64" i="7"/>
  <c r="J64" i="7"/>
  <c r="J77" i="7" s="1"/>
  <c r="H64" i="7"/>
  <c r="E64" i="7"/>
  <c r="E77" i="7" s="1"/>
  <c r="L61" i="7"/>
  <c r="J61" i="7"/>
  <c r="E61" i="7"/>
  <c r="H60" i="7"/>
  <c r="H61" i="7" s="1"/>
  <c r="L56" i="7"/>
  <c r="J56" i="7"/>
  <c r="H56" i="7"/>
  <c r="E55" i="7"/>
  <c r="E56" i="7" s="1"/>
  <c r="L46" i="7"/>
  <c r="L49" i="7" s="1"/>
  <c r="J46" i="7"/>
  <c r="J49" i="7" s="1"/>
  <c r="H46" i="7"/>
  <c r="H49" i="7" s="1"/>
  <c r="E46" i="7"/>
  <c r="E49" i="7" s="1"/>
  <c r="L34" i="7"/>
  <c r="F34" i="7"/>
  <c r="E34" i="7" s="1"/>
  <c r="L32" i="7"/>
  <c r="E32" i="7"/>
  <c r="L31" i="7"/>
  <c r="J31" i="7"/>
  <c r="H31" i="7"/>
  <c r="E31" i="7"/>
  <c r="L30" i="7"/>
  <c r="J30" i="7"/>
  <c r="H30" i="7"/>
  <c r="E30" i="7"/>
  <c r="L29" i="7"/>
  <c r="L33" i="7" s="1"/>
  <c r="L35" i="7" s="1"/>
  <c r="L39" i="7" s="1"/>
  <c r="J29" i="7"/>
  <c r="J33" i="7" s="1"/>
  <c r="J35" i="7" s="1"/>
  <c r="J39" i="7" s="1"/>
  <c r="H29" i="7"/>
  <c r="H33" i="7" s="1"/>
  <c r="H35" i="7" s="1"/>
  <c r="H39" i="7" s="1"/>
  <c r="E23" i="7"/>
  <c r="E33" i="7" s="1"/>
  <c r="E35" i="7" s="1"/>
  <c r="E39" i="7" s="1"/>
  <c r="L10" i="7"/>
  <c r="H9" i="7"/>
  <c r="E9" i="7"/>
  <c r="H8" i="7"/>
  <c r="L5" i="7"/>
  <c r="J5" i="7"/>
  <c r="J10" i="7" s="1"/>
  <c r="J42" i="7" s="1"/>
  <c r="H5" i="7"/>
  <c r="H10" i="7" s="1"/>
  <c r="H42" i="7" s="1"/>
  <c r="E5" i="7"/>
  <c r="E110" i="7" l="1"/>
  <c r="H77" i="7"/>
  <c r="H110" i="7"/>
  <c r="E10" i="7"/>
  <c r="E42" i="7" s="1"/>
  <c r="L77" i="7"/>
  <c r="J110" i="7"/>
  <c r="E120" i="7"/>
  <c r="L110" i="7"/>
  <c r="L42" i="7"/>
  <c r="L51" i="7" s="1"/>
  <c r="H51" i="7"/>
  <c r="H43" i="7"/>
  <c r="E51" i="7"/>
  <c r="E43" i="7"/>
  <c r="J51" i="7"/>
  <c r="J43" i="7"/>
  <c r="L43" i="7"/>
  <c r="E10" i="4"/>
  <c r="E52" i="7" l="1"/>
  <c r="E79" i="7"/>
  <c r="E88" i="7" s="1"/>
  <c r="E124" i="7" s="1"/>
  <c r="E125" i="7" s="1"/>
  <c r="E127" i="7" s="1"/>
  <c r="J52" i="7"/>
  <c r="J79" i="7"/>
  <c r="J88" i="7" s="1"/>
  <c r="J124" i="7" s="1"/>
  <c r="J125" i="7" s="1"/>
  <c r="J127" i="7" s="1"/>
  <c r="L52" i="7"/>
  <c r="L79" i="7"/>
  <c r="L88" i="7" s="1"/>
  <c r="L124" i="7" s="1"/>
  <c r="L125" i="7" s="1"/>
  <c r="L127" i="7" s="1"/>
  <c r="H79" i="7"/>
  <c r="H88" i="7" s="1"/>
  <c r="H124" i="7" s="1"/>
  <c r="H125" i="7" s="1"/>
  <c r="H127" i="7" s="1"/>
  <c r="H52" i="7"/>
  <c r="L117" i="6"/>
  <c r="J117" i="6"/>
  <c r="H117" i="6"/>
  <c r="E114" i="6"/>
  <c r="E117" i="6" s="1"/>
  <c r="L106" i="6"/>
  <c r="J101" i="6"/>
  <c r="J106" i="6" s="1"/>
  <c r="H101" i="6"/>
  <c r="H106" i="6" s="1"/>
  <c r="H108" i="6" s="1"/>
  <c r="E101" i="6"/>
  <c r="E106" i="6" s="1"/>
  <c r="L95" i="6"/>
  <c r="J95" i="6"/>
  <c r="H95" i="6"/>
  <c r="E95" i="6"/>
  <c r="L84" i="6"/>
  <c r="J84" i="6"/>
  <c r="H84" i="6"/>
  <c r="E84" i="6"/>
  <c r="J74" i="6"/>
  <c r="L70" i="6"/>
  <c r="J70" i="6"/>
  <c r="E69" i="6"/>
  <c r="L68" i="6"/>
  <c r="E67" i="6"/>
  <c r="E63" i="6"/>
  <c r="L62" i="6"/>
  <c r="J62" i="6"/>
  <c r="H62" i="6"/>
  <c r="H75" i="6" s="1"/>
  <c r="E62" i="6"/>
  <c r="L59" i="6"/>
  <c r="J59" i="6"/>
  <c r="H59" i="6"/>
  <c r="E58" i="6"/>
  <c r="E59" i="6" s="1"/>
  <c r="L54" i="6"/>
  <c r="J54" i="6"/>
  <c r="H54" i="6"/>
  <c r="E54" i="6"/>
  <c r="L44" i="6"/>
  <c r="L47" i="6" s="1"/>
  <c r="J44" i="6"/>
  <c r="J47" i="6" s="1"/>
  <c r="H44" i="6"/>
  <c r="H47" i="6" s="1"/>
  <c r="E44" i="6"/>
  <c r="E47" i="6" s="1"/>
  <c r="L32" i="6"/>
  <c r="J32" i="6"/>
  <c r="J30" i="6"/>
  <c r="L29" i="6"/>
  <c r="J29" i="6"/>
  <c r="H29" i="6"/>
  <c r="E29" i="6"/>
  <c r="L28" i="6"/>
  <c r="J28" i="6"/>
  <c r="H28" i="6"/>
  <c r="E28" i="6"/>
  <c r="L27" i="6"/>
  <c r="J27" i="6"/>
  <c r="J31" i="6" s="1"/>
  <c r="J33" i="6" s="1"/>
  <c r="J37" i="6" s="1"/>
  <c r="H27" i="6"/>
  <c r="H31" i="6" s="1"/>
  <c r="H33" i="6" s="1"/>
  <c r="H37" i="6" s="1"/>
  <c r="F27" i="6"/>
  <c r="E27" i="6"/>
  <c r="E31" i="6" s="1"/>
  <c r="L23" i="6"/>
  <c r="F23" i="6"/>
  <c r="L16" i="6"/>
  <c r="F15" i="6"/>
  <c r="F14" i="6"/>
  <c r="F32" i="6" s="1"/>
  <c r="E32" i="6" s="1"/>
  <c r="E9" i="6"/>
  <c r="E8" i="6"/>
  <c r="L5" i="6"/>
  <c r="L10" i="6" s="1"/>
  <c r="J5" i="6"/>
  <c r="J10" i="6" s="1"/>
  <c r="H5" i="6"/>
  <c r="H10" i="6" s="1"/>
  <c r="H40" i="6" s="1"/>
  <c r="E5" i="6"/>
  <c r="E10" i="6" s="1"/>
  <c r="J108" i="6" l="1"/>
  <c r="J75" i="6"/>
  <c r="L31" i="6"/>
  <c r="L33" i="6" s="1"/>
  <c r="L37" i="6" s="1"/>
  <c r="L40" i="6" s="1"/>
  <c r="E108" i="6"/>
  <c r="L108" i="6"/>
  <c r="L75" i="6"/>
  <c r="J40" i="6"/>
  <c r="J49" i="6" s="1"/>
  <c r="E75" i="6"/>
  <c r="H49" i="6"/>
  <c r="H41" i="6"/>
  <c r="E33" i="6"/>
  <c r="E37" i="6" s="1"/>
  <c r="E40" i="6" s="1"/>
  <c r="J41" i="6" l="1"/>
  <c r="L49" i="6"/>
  <c r="L41" i="6"/>
  <c r="E49" i="6"/>
  <c r="E41" i="6"/>
  <c r="J77" i="6"/>
  <c r="J86" i="6" s="1"/>
  <c r="J121" i="6" s="1"/>
  <c r="J122" i="6" s="1"/>
  <c r="J124" i="6" s="1"/>
  <c r="J50" i="6"/>
  <c r="H77" i="6"/>
  <c r="H86" i="6" s="1"/>
  <c r="H121" i="6" s="1"/>
  <c r="H122" i="6" s="1"/>
  <c r="H124" i="6" s="1"/>
  <c r="H50" i="6"/>
  <c r="E77" i="6" l="1"/>
  <c r="E86" i="6" s="1"/>
  <c r="E121" i="6" s="1"/>
  <c r="E122" i="6" s="1"/>
  <c r="E124" i="6" s="1"/>
  <c r="E50" i="6"/>
  <c r="L77" i="6"/>
  <c r="L86" i="6" s="1"/>
  <c r="L121" i="6" s="1"/>
  <c r="L122" i="6" s="1"/>
  <c r="L124" i="6" s="1"/>
  <c r="L50" i="6"/>
  <c r="E119" i="4" l="1"/>
  <c r="E108" i="4"/>
  <c r="E97" i="4"/>
  <c r="E86" i="4"/>
  <c r="E77" i="4"/>
  <c r="E61" i="4"/>
  <c r="E47" i="4"/>
  <c r="E32" i="4"/>
  <c r="F33" i="4"/>
  <c r="E33" i="4" s="1"/>
  <c r="J114" i="3"/>
  <c r="H111" i="3"/>
  <c r="E111" i="3"/>
  <c r="L109" i="3"/>
  <c r="L111" i="3" s="1"/>
  <c r="J109" i="3"/>
  <c r="J111" i="3" s="1"/>
  <c r="H102" i="3"/>
  <c r="H104" i="3" s="1"/>
  <c r="L101" i="3"/>
  <c r="L102" i="3" s="1"/>
  <c r="L104" i="3" s="1"/>
  <c r="J101" i="3"/>
  <c r="J102" i="3" s="1"/>
  <c r="J104" i="3" s="1"/>
  <c r="E100" i="3"/>
  <c r="E102" i="3" s="1"/>
  <c r="E104" i="3" s="1"/>
  <c r="L97" i="3"/>
  <c r="L92" i="3"/>
  <c r="J92" i="3"/>
  <c r="H92" i="3"/>
  <c r="E92" i="3"/>
  <c r="L80" i="3"/>
  <c r="J80" i="3"/>
  <c r="H80" i="3"/>
  <c r="E80" i="3"/>
  <c r="E70" i="3"/>
  <c r="J67" i="3"/>
  <c r="H67" i="3"/>
  <c r="E67" i="3"/>
  <c r="H65" i="3"/>
  <c r="J63" i="3"/>
  <c r="L60" i="3"/>
  <c r="J60" i="3"/>
  <c r="L58" i="3"/>
  <c r="L71" i="3" s="1"/>
  <c r="J58" i="3"/>
  <c r="J71" i="3" s="1"/>
  <c r="H58" i="3"/>
  <c r="H71" i="3" s="1"/>
  <c r="E58" i="3"/>
  <c r="E71" i="3" s="1"/>
  <c r="L55" i="3"/>
  <c r="J55" i="3"/>
  <c r="H55" i="3"/>
  <c r="E55" i="3"/>
  <c r="L46" i="3"/>
  <c r="H46" i="3"/>
  <c r="J43" i="3"/>
  <c r="J46" i="3" s="1"/>
  <c r="H43" i="3"/>
  <c r="E43" i="3"/>
  <c r="E46" i="3" s="1"/>
  <c r="L31" i="3"/>
  <c r="J31" i="3"/>
  <c r="H31" i="3"/>
  <c r="F31" i="3"/>
  <c r="E31" i="3"/>
  <c r="E29" i="3"/>
  <c r="L28" i="3"/>
  <c r="J28" i="3"/>
  <c r="H28" i="3"/>
  <c r="E28" i="3"/>
  <c r="L27" i="3"/>
  <c r="J27" i="3"/>
  <c r="H27" i="3"/>
  <c r="E27" i="3"/>
  <c r="L26" i="3"/>
  <c r="J26" i="3"/>
  <c r="J30" i="3" s="1"/>
  <c r="J32" i="3" s="1"/>
  <c r="J36" i="3" s="1"/>
  <c r="H26" i="3"/>
  <c r="E26" i="3"/>
  <c r="E30" i="3" s="1"/>
  <c r="E32" i="3" s="1"/>
  <c r="E36" i="3" s="1"/>
  <c r="L21" i="3"/>
  <c r="L30" i="3" s="1"/>
  <c r="L32" i="3" s="1"/>
  <c r="L36" i="3" s="1"/>
  <c r="H21" i="3"/>
  <c r="F21" i="3"/>
  <c r="H15" i="3"/>
  <c r="H30" i="3" s="1"/>
  <c r="H32" i="3" s="1"/>
  <c r="H36" i="3" s="1"/>
  <c r="L5" i="3"/>
  <c r="L9" i="3" s="1"/>
  <c r="L39" i="3" s="1"/>
  <c r="J5" i="3"/>
  <c r="J9" i="3" s="1"/>
  <c r="J39" i="3" s="1"/>
  <c r="H5" i="3"/>
  <c r="H9" i="3" s="1"/>
  <c r="E5" i="3"/>
  <c r="E9" i="3" s="1"/>
  <c r="E39" i="3" s="1"/>
  <c r="E110" i="4" l="1"/>
  <c r="E34" i="4"/>
  <c r="E38" i="4" s="1"/>
  <c r="E40" i="4" s="1"/>
  <c r="L40" i="3"/>
  <c r="L48" i="3"/>
  <c r="E40" i="3"/>
  <c r="E48" i="3"/>
  <c r="H39" i="3"/>
  <c r="J48" i="3"/>
  <c r="J40" i="3"/>
  <c r="E49" i="4" l="1"/>
  <c r="E79" i="4" s="1"/>
  <c r="E41" i="4"/>
  <c r="J73" i="3"/>
  <c r="J83" i="3" s="1"/>
  <c r="J115" i="3" s="1"/>
  <c r="J116" i="3" s="1"/>
  <c r="J118" i="3" s="1"/>
  <c r="J49" i="3"/>
  <c r="L73" i="3"/>
  <c r="L83" i="3" s="1"/>
  <c r="L115" i="3" s="1"/>
  <c r="L116" i="3" s="1"/>
  <c r="L118" i="3" s="1"/>
  <c r="L49" i="3"/>
  <c r="E73" i="3"/>
  <c r="E83" i="3" s="1"/>
  <c r="E115" i="3" s="1"/>
  <c r="E116" i="3" s="1"/>
  <c r="E118" i="3" s="1"/>
  <c r="E49" i="3"/>
  <c r="H40" i="3"/>
  <c r="H48" i="3"/>
  <c r="E88" i="4" l="1"/>
  <c r="E123" i="4" s="1"/>
  <c r="E124" i="4" s="1"/>
  <c r="E126" i="4" s="1"/>
  <c r="E50" i="4"/>
  <c r="H73" i="3"/>
  <c r="H83" i="3" s="1"/>
  <c r="H115" i="3" s="1"/>
  <c r="H116" i="3" s="1"/>
  <c r="H118" i="3" s="1"/>
  <c r="H49" i="3"/>
  <c r="E42" i="1" l="1"/>
  <c r="E100" i="1" l="1"/>
  <c r="E57" i="1"/>
  <c r="F25" i="1"/>
  <c r="F14" i="1"/>
  <c r="E25" i="1"/>
  <c r="E26" i="1"/>
  <c r="E27" i="1"/>
  <c r="E5" i="1"/>
  <c r="H110" i="1"/>
  <c r="H100" i="1"/>
  <c r="H102" i="1" s="1"/>
  <c r="H92" i="1"/>
  <c r="H80" i="1"/>
  <c r="H69" i="1"/>
  <c r="H66" i="1"/>
  <c r="H57" i="1"/>
  <c r="H54" i="1"/>
  <c r="H42" i="1"/>
  <c r="H45" i="1" s="1"/>
  <c r="H30" i="1"/>
  <c r="H28" i="1"/>
  <c r="H27" i="1"/>
  <c r="H26" i="1"/>
  <c r="H25" i="1"/>
  <c r="H5" i="1"/>
  <c r="H9" i="1" s="1"/>
  <c r="J5" i="1"/>
  <c r="J9" i="1" s="1"/>
  <c r="L5" i="1"/>
  <c r="L9" i="1"/>
  <c r="J15" i="1"/>
  <c r="J21" i="1"/>
  <c r="J25" i="1"/>
  <c r="L25" i="1"/>
  <c r="J26" i="1"/>
  <c r="L26" i="1"/>
  <c r="J27" i="1"/>
  <c r="L27" i="1"/>
  <c r="J30" i="1"/>
  <c r="L30" i="1"/>
  <c r="J42" i="1"/>
  <c r="J45" i="1" s="1"/>
  <c r="L42" i="1"/>
  <c r="L45" i="1" s="1"/>
  <c r="J54" i="1"/>
  <c r="L54" i="1"/>
  <c r="J57" i="1"/>
  <c r="L57" i="1"/>
  <c r="L59" i="1"/>
  <c r="L62" i="1"/>
  <c r="J64" i="1"/>
  <c r="J66" i="1"/>
  <c r="L66" i="1"/>
  <c r="J80" i="1"/>
  <c r="L80" i="1"/>
  <c r="J92" i="1"/>
  <c r="L92" i="1"/>
  <c r="L101" i="1"/>
  <c r="L102" i="1" s="1"/>
  <c r="L104" i="1" s="1"/>
  <c r="J102" i="1"/>
  <c r="L108" i="1"/>
  <c r="L110" i="1" s="1"/>
  <c r="J110" i="1"/>
  <c r="L113" i="1"/>
  <c r="J29" i="1" l="1"/>
  <c r="J31" i="1" s="1"/>
  <c r="J35" i="1" s="1"/>
  <c r="L29" i="1"/>
  <c r="L31" i="1" s="1"/>
  <c r="L35" i="1" s="1"/>
  <c r="L38" i="1" s="1"/>
  <c r="H29" i="1"/>
  <c r="H31" i="1" s="1"/>
  <c r="H35" i="1" s="1"/>
  <c r="H38" i="1" s="1"/>
  <c r="H104" i="1"/>
  <c r="L70" i="1"/>
  <c r="H70" i="1"/>
  <c r="J104" i="1"/>
  <c r="J70" i="1"/>
  <c r="J38" i="1"/>
  <c r="H114" i="2"/>
  <c r="H111" i="2"/>
  <c r="E111" i="2"/>
  <c r="L109" i="2"/>
  <c r="L111" i="2" s="1"/>
  <c r="J109" i="2"/>
  <c r="J111" i="2" s="1"/>
  <c r="H109" i="2"/>
  <c r="H102" i="2"/>
  <c r="H104" i="2" s="1"/>
  <c r="E102" i="2"/>
  <c r="E104" i="2" s="1"/>
  <c r="L101" i="2"/>
  <c r="L102" i="2" s="1"/>
  <c r="L104" i="2" s="1"/>
  <c r="J101" i="2"/>
  <c r="H101" i="2"/>
  <c r="J98" i="2"/>
  <c r="J102" i="2" s="1"/>
  <c r="J104" i="2" s="1"/>
  <c r="L93" i="2"/>
  <c r="J93" i="2"/>
  <c r="H93" i="2"/>
  <c r="E93" i="2"/>
  <c r="L81" i="2"/>
  <c r="J81" i="2"/>
  <c r="H81" i="2"/>
  <c r="E81" i="2"/>
  <c r="E72" i="2"/>
  <c r="H68" i="2"/>
  <c r="E68" i="2"/>
  <c r="E66" i="2"/>
  <c r="H64" i="2"/>
  <c r="L61" i="2"/>
  <c r="J61" i="2"/>
  <c r="J72" i="2" s="1"/>
  <c r="H61" i="2"/>
  <c r="H72" i="2" s="1"/>
  <c r="L59" i="2"/>
  <c r="L72" i="2" s="1"/>
  <c r="J59" i="2"/>
  <c r="H59" i="2"/>
  <c r="E59" i="2"/>
  <c r="L56" i="2"/>
  <c r="J56" i="2"/>
  <c r="H56" i="2"/>
  <c r="E56" i="2"/>
  <c r="J47" i="2"/>
  <c r="E47" i="2"/>
  <c r="L44" i="2"/>
  <c r="L47" i="2" s="1"/>
  <c r="H44" i="2"/>
  <c r="H47" i="2" s="1"/>
  <c r="E44" i="2"/>
  <c r="J32" i="2"/>
  <c r="H32" i="2"/>
  <c r="F32" i="2"/>
  <c r="E32" i="2"/>
  <c r="L29" i="2"/>
  <c r="J29" i="2"/>
  <c r="H29" i="2"/>
  <c r="E29" i="2"/>
  <c r="L28" i="2"/>
  <c r="J28" i="2"/>
  <c r="H28" i="2"/>
  <c r="E28" i="2"/>
  <c r="L27" i="2"/>
  <c r="L31" i="2" s="1"/>
  <c r="L33" i="2" s="1"/>
  <c r="L37" i="2" s="1"/>
  <c r="J27" i="2"/>
  <c r="J31" i="2" s="1"/>
  <c r="J33" i="2" s="1"/>
  <c r="J37" i="2" s="1"/>
  <c r="H27" i="2"/>
  <c r="H31" i="2" s="1"/>
  <c r="H33" i="2" s="1"/>
  <c r="H37" i="2" s="1"/>
  <c r="E27" i="2"/>
  <c r="J21" i="2"/>
  <c r="E21" i="2"/>
  <c r="E31" i="2" s="1"/>
  <c r="E33" i="2" s="1"/>
  <c r="E37" i="2" s="1"/>
  <c r="E15" i="2"/>
  <c r="H9" i="2"/>
  <c r="H40" i="2" s="1"/>
  <c r="L5" i="2"/>
  <c r="L9" i="2" s="1"/>
  <c r="L40" i="2" s="1"/>
  <c r="J5" i="2"/>
  <c r="J9" i="2" s="1"/>
  <c r="J40" i="2" s="1"/>
  <c r="H5" i="2"/>
  <c r="E5" i="2"/>
  <c r="E9" i="2" s="1"/>
  <c r="E40" i="2" s="1"/>
  <c r="H47" i="1" l="1"/>
  <c r="H48" i="1" s="1"/>
  <c r="H39" i="1"/>
  <c r="H72" i="1"/>
  <c r="H83" i="1" s="1"/>
  <c r="H114" i="1" s="1"/>
  <c r="H115" i="1" s="1"/>
  <c r="H117" i="1" s="1"/>
  <c r="J47" i="1"/>
  <c r="J39" i="1"/>
  <c r="L39" i="1"/>
  <c r="L47" i="1"/>
  <c r="L41" i="2"/>
  <c r="L49" i="2"/>
  <c r="E41" i="2"/>
  <c r="E49" i="2"/>
  <c r="H41" i="2"/>
  <c r="H49" i="2"/>
  <c r="J49" i="2"/>
  <c r="J41" i="2"/>
  <c r="L72" i="1" l="1"/>
  <c r="L83" i="1" s="1"/>
  <c r="L114" i="1" s="1"/>
  <c r="L115" i="1" s="1"/>
  <c r="L117" i="1" s="1"/>
  <c r="L48" i="1"/>
  <c r="J72" i="1"/>
  <c r="J83" i="1" s="1"/>
  <c r="J114" i="1" s="1"/>
  <c r="J115" i="1" s="1"/>
  <c r="J117" i="1" s="1"/>
  <c r="J48" i="1"/>
  <c r="J50" i="2"/>
  <c r="J74" i="2"/>
  <c r="J84" i="2" s="1"/>
  <c r="J115" i="2" s="1"/>
  <c r="J116" i="2" s="1"/>
  <c r="J118" i="2" s="1"/>
  <c r="L74" i="2"/>
  <c r="L84" i="2" s="1"/>
  <c r="L115" i="2" s="1"/>
  <c r="L116" i="2" s="1"/>
  <c r="L118" i="2" s="1"/>
  <c r="L50" i="2"/>
  <c r="E74" i="2"/>
  <c r="E84" i="2" s="1"/>
  <c r="E115" i="2" s="1"/>
  <c r="E116" i="2" s="1"/>
  <c r="E118" i="2" s="1"/>
  <c r="E50" i="2"/>
  <c r="H50" i="2"/>
  <c r="H74" i="2"/>
  <c r="H84" i="2" s="1"/>
  <c r="H115" i="2" s="1"/>
  <c r="H116" i="2" s="1"/>
  <c r="H118" i="2" s="1"/>
  <c r="E29" i="1"/>
  <c r="E70" i="1" l="1"/>
  <c r="E45" i="1"/>
  <c r="E9" i="1"/>
  <c r="E110" i="1"/>
  <c r="E102" i="1"/>
  <c r="E92" i="1"/>
  <c r="E54" i="1"/>
  <c r="E80" i="1"/>
  <c r="E104" i="1" l="1"/>
  <c r="F30" i="1" l="1"/>
  <c r="E30" i="1" s="1"/>
  <c r="E31" i="1" s="1"/>
  <c r="E35" i="1" s="1"/>
  <c r="E38" i="1" s="1"/>
  <c r="E39" i="1" s="1"/>
  <c r="E47" i="1" l="1"/>
  <c r="E48" i="1" s="1"/>
  <c r="E72" i="1" l="1"/>
  <c r="E83" i="1" s="1"/>
  <c r="E114" i="1" s="1"/>
  <c r="E115" i="1" s="1"/>
  <c r="E117" i="1" s="1"/>
</calcChain>
</file>

<file path=xl/sharedStrings.xml><?xml version="1.0" encoding="utf-8"?>
<sst xmlns="http://schemas.openxmlformats.org/spreadsheetml/2006/main" count="746" uniqueCount="130">
  <si>
    <t>KR.</t>
  </si>
  <si>
    <t>Giro</t>
  </si>
  <si>
    <t>Bank</t>
  </si>
  <si>
    <t>Bangladesh</t>
  </si>
  <si>
    <t>Sale of goods abroad / Varesalg eksport</t>
  </si>
  <si>
    <t>Internal sale / Internt salg (Holstebro)</t>
  </si>
  <si>
    <t>Sale of goods at home / Varesalg indland</t>
  </si>
  <si>
    <t>SALE OF GOODS / VARESALG:</t>
  </si>
  <si>
    <t>DKK</t>
  </si>
  <si>
    <t>SALE OF GOODS IN TOTAL / VARESALG I ALT:</t>
  </si>
  <si>
    <t>PURCHASE OF GOODS / VAREKØB:</t>
  </si>
  <si>
    <t>Chile</t>
  </si>
  <si>
    <t>El Salvador</t>
  </si>
  <si>
    <t>Kenya</t>
  </si>
  <si>
    <t>Nepal</t>
  </si>
  <si>
    <t>Palestine / Palæstina</t>
  </si>
  <si>
    <t>Peru</t>
  </si>
  <si>
    <t>Sri Lanka</t>
  </si>
  <si>
    <t>Sri Lanka via Belgium / Belgien</t>
  </si>
  <si>
    <t>South Africa / Sydafrika</t>
  </si>
  <si>
    <t>Tanzania</t>
  </si>
  <si>
    <t>Vietnam</t>
  </si>
  <si>
    <t>El Puente, Germany / Tyskland</t>
  </si>
  <si>
    <t>Fair Forward, Netherlands / Holland</t>
  </si>
  <si>
    <t>Others share of import / Andres andel af import</t>
  </si>
  <si>
    <t>Total</t>
  </si>
  <si>
    <t>Freight home / Hjemfragt</t>
  </si>
  <si>
    <t>Freight forwarding a.o. / Spedition m.m.</t>
  </si>
  <si>
    <t>Customs duty, fees, food control /
Told, afgifter, fødevarekontrol</t>
  </si>
  <si>
    <t>Purchase of goods others / Varekøb andet</t>
  </si>
  <si>
    <t>PURCHASE OF GOODS IN TOTAL / VAREKØB I ALT:</t>
  </si>
  <si>
    <t>PURCHASE OF GOODS FTG / VAREKØB FTG:</t>
  </si>
  <si>
    <t xml:space="preserve">                     U-landsforeningen Svalerne i Aarhus, Fair Trade Gruppen (FTG)</t>
  </si>
  <si>
    <t>Herof others share / Heraf andres andel</t>
  </si>
  <si>
    <t>NET OUTFLOW STOCK / NETTOAFGANG LAGER:</t>
  </si>
  <si>
    <t>GROSS PROFIT I / BRUTTOAVANCE I:</t>
  </si>
  <si>
    <t>PRODUCT CONSUMPTION IN TOTAL /
VAREFORBRUG TOTAL:</t>
  </si>
  <si>
    <t>SHOPPING EXPEDITION / VAREEKSPEDITION:</t>
  </si>
  <si>
    <t>Customer delivery / Kundefragt</t>
  </si>
  <si>
    <t>Pricetags / Prismærker</t>
  </si>
  <si>
    <t>Various / Diverse</t>
  </si>
  <si>
    <t>SHOPPING EXPEDITION IN TOTAL /
VAREEKSPEDITION I ALT:</t>
  </si>
  <si>
    <t>GROSS PROFIT II / BRUTTOAVANCE II:</t>
  </si>
  <si>
    <t>OTHER INCOME / ØVRIGE INDTÆGTER:</t>
  </si>
  <si>
    <t>Membership fees from Swallows in Denmark /
Kontingenter fra landsforeningen</t>
  </si>
  <si>
    <t>Interests, bank &amp; Giro / Renter, bank &amp; giro</t>
  </si>
  <si>
    <t>OTHER INCOME IN TOTAL /
ØVRIGE INDTÆGTER I ALT:</t>
  </si>
  <si>
    <t>- Cash discount of invoice / - Kontantrabat på faktura</t>
  </si>
  <si>
    <t>Wages incl. holiday pay / Løn inkl. feriepenge</t>
  </si>
  <si>
    <t>Administration of wages / Lønadministration</t>
  </si>
  <si>
    <t>Telephone, fax, internet / Telefon, fax, bredbånd</t>
  </si>
  <si>
    <t>Office supplies &amp; paper / Kontorartikler &amp; papir</t>
  </si>
  <si>
    <t>Insurance / Forsikring</t>
  </si>
  <si>
    <t>Catalogue &amp; website / Varekatalog &amp; hjemmeside</t>
  </si>
  <si>
    <t>Computer equipment &amp; printer / EDB-udstyr &amp; printer</t>
  </si>
  <si>
    <t>Office, stock equipment, furniture /
Kontor, lagerudstyr, inventar</t>
  </si>
  <si>
    <t>Offices, maintenance etc. / Lokaler, vedligeholdelse m.v.</t>
  </si>
  <si>
    <t>Container for paper / Papircontainer</t>
  </si>
  <si>
    <t>Bank account fee / Kontogebyrer bank</t>
  </si>
  <si>
    <t>ADMINISTRATIVE EXPENSES IN TOTAL /
ADMINISTRATIONSOMKOSTNINGER I ALT:</t>
  </si>
  <si>
    <t>ADMINISTRATIVE EXPENSES /
ADMINISTRATIONSOMKOSTNINGER:</t>
  </si>
  <si>
    <t>PRIMARY RESULT / PRIMÆRT RESULTAT:</t>
  </si>
  <si>
    <t>EKSTRAORDINARY EXPENCES /
EKSTRAORDINÆRE UDGIFTER:</t>
  </si>
  <si>
    <t>Lost money on debtors / Realiserede tab varedebitorer</t>
  </si>
  <si>
    <t>Donations / Donation - PUP, Bangladesh</t>
  </si>
  <si>
    <t>Cash desk balance / Kassedifference</t>
  </si>
  <si>
    <t>EKSTRAORDINARY EXPENCES IN TOTAL /
EKSTRAORDINÆRE UDGFT. I ALT:</t>
  </si>
  <si>
    <t>RESULT OF THE YEAR / ÅRETS RESULTAT</t>
  </si>
  <si>
    <t>ASSETS / AKTIVER:</t>
  </si>
  <si>
    <t>Cash desk / Kasse</t>
  </si>
  <si>
    <t>AVAILABLE FUNDS IN TOTAL / LIKVIDE MIDLER I ALT:</t>
  </si>
  <si>
    <t>DEBTORS OF GOODS / VAREDEBITORER:</t>
  </si>
  <si>
    <t>OTHER ASSETS / ANDRE AKTIVER:</t>
  </si>
  <si>
    <t>Stock of goods, cost price / Varelager, kostpris</t>
  </si>
  <si>
    <t>Provisions losses / Hensat tab - Fair Trade Holstebro</t>
  </si>
  <si>
    <t>Placed loss / Hensat tab - Fair Trade Holstebro</t>
  </si>
  <si>
    <t>Outlay / Udlæg - Fair Trade Holstebro</t>
  </si>
  <si>
    <t>Various assets / Aktiver i øvrigt</t>
  </si>
  <si>
    <t>OTHER ASSETS IN TOTAL / ANDRE AKTIVER I ALT:</t>
  </si>
  <si>
    <t>ASSETS IN TOTAL / AKTIVER I ALT.</t>
  </si>
  <si>
    <t>DEBT / PASSIVER:</t>
  </si>
  <si>
    <t>2nd payment to Jute Works / 2.betaling til Jute Works</t>
  </si>
  <si>
    <t>Various debt / Diverse gæld</t>
  </si>
  <si>
    <t>Private loans / Private lån</t>
  </si>
  <si>
    <t>DEBT IN TOTAL / GÆLD I ALT:</t>
  </si>
  <si>
    <t>OWN CAPITAL / EGENKAPITALEN:</t>
  </si>
  <si>
    <t>Own capital / Egenkapital - primo</t>
  </si>
  <si>
    <t>Added the result of the year / + årets resultat</t>
  </si>
  <si>
    <t>OWN KAPITAL END / EGENKAPITAL ULTIMO:</t>
  </si>
  <si>
    <t>DEBT IN TOTAL / PASSIVER I ALT:</t>
  </si>
  <si>
    <t xml:space="preserve">                                BALANCE SHEET / BALANCE</t>
  </si>
  <si>
    <t>Subscriptions / Kontingenter+Monitorering</t>
  </si>
  <si>
    <t>Owed VAT / Skyldig moms</t>
  </si>
  <si>
    <t xml:space="preserve">                                FINANCIAL REPORT / REGNSKAB - 2017 </t>
  </si>
  <si>
    <t>Jambo Fairtrade, Denmark / Danmark</t>
  </si>
  <si>
    <t>Subscriptions / Kontingenter</t>
  </si>
  <si>
    <t>Owed value added tax / Skyldig moms</t>
  </si>
  <si>
    <t>Goods prepaid / Varekøb forudbetalt</t>
  </si>
  <si>
    <t xml:space="preserve">                                FINANCIAL REPORT / REGNSKAB - 2019 </t>
  </si>
  <si>
    <t>Donations / Donation - Svalerne Danmark</t>
  </si>
  <si>
    <t xml:space="preserve">                                FINANCIAL REPORT / REGNSKAB - 2018 </t>
  </si>
  <si>
    <t>Guatemala</t>
  </si>
  <si>
    <t>Administration of wages o.a./ Lønadministration m.m.</t>
  </si>
  <si>
    <t>Old tax / Gammel difference Skat Dk</t>
  </si>
  <si>
    <t>Bank 1 / Danske Bank</t>
  </si>
  <si>
    <t>Bank 2/ Nordea</t>
  </si>
  <si>
    <t>Loan VAT (corona) /Momslån+udskudt moms (corona)</t>
  </si>
  <si>
    <t xml:space="preserve">               U-landsforeningen Svalerne i Aarhus, Fair Trade Gruppen (FTG)</t>
  </si>
  <si>
    <t xml:space="preserve">                      FINANCIAL REPORT / REGNSKAB - 2020 </t>
  </si>
  <si>
    <t>Cash discount of invoice / - Kontantrabat på faktura</t>
  </si>
  <si>
    <t>OTHER SALES COST / ANDRE SALGSOMKOSTNINGER:</t>
  </si>
  <si>
    <t>OTHER SALES COST TOTAL /</t>
  </si>
  <si>
    <t>OTHER FINANSIEL EXPENCES /
EKSTRAORDINÆRE UDGIFTER:</t>
  </si>
  <si>
    <t>OTHER FINANSIEL EXPENCES IN TOTAL /
EKSTRAORDINÆRE UDGFT. I ALT:</t>
  </si>
  <si>
    <t>Tax interest / Renter Skat</t>
  </si>
  <si>
    <t>Deposit / Depositum</t>
  </si>
  <si>
    <t>Tax account / Skattekontoen</t>
  </si>
  <si>
    <t>Public debts / A-Skat &amp; Feriepenge</t>
  </si>
  <si>
    <t>Suppliers / Leverandører</t>
  </si>
  <si>
    <t xml:space="preserve">                      FINANCIAL REPORT / REGNSKAB - 2021</t>
  </si>
  <si>
    <t>Freight forwarding a.o. / Spedition, bank m.m.</t>
  </si>
  <si>
    <t>Indien</t>
  </si>
  <si>
    <t>Buyers / Kundetilgodehavender</t>
  </si>
  <si>
    <t xml:space="preserve">                      FINANCIAL REPORT / REGNSKAB - 2022</t>
  </si>
  <si>
    <t>PR - Tryksager m.m.</t>
  </si>
  <si>
    <t>Donations / Donation - Svalerne Danmark &amp; WFTO</t>
  </si>
  <si>
    <t>Auditor / Revisor</t>
  </si>
  <si>
    <t xml:space="preserve">                      FINANCIAL REPORT / REGNSKAB - 2023</t>
  </si>
  <si>
    <t>Interest Bank account / Renter bank</t>
  </si>
  <si>
    <t>Donations / Donation - Svalerne Danmark &amp; WFTO m.fl.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</si>
</sst>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2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1" fontId="0" fillId="2" borderId="6" xfId="0" applyNumberFormat="1" applyFill="1" applyBorder="1" applyAlignment="1">
      <alignment vertical="center"/>
    </xf>
    <xf numFmtId="1" fontId="0" fillId="2" borderId="0" xfId="0" applyNumberFormat="1" applyFill="1" applyBorder="1" applyAlignment="1">
      <alignment vertical="center"/>
    </xf>
    <xf numFmtId="1" fontId="0" fillId="3" borderId="4" xfId="0" applyNumberFormat="1" applyFill="1" applyBorder="1" applyAlignment="1">
      <alignment vertical="center"/>
    </xf>
    <xf numFmtId="1" fontId="0" fillId="3" borderId="0" xfId="0" applyNumberForma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49" fontId="3" fillId="0" borderId="0" xfId="0" applyNumberFormat="1" applyFont="1" applyAlignment="1">
      <alignment vertical="center"/>
    </xf>
    <xf numFmtId="1" fontId="0" fillId="2" borderId="4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1" fontId="0" fillId="2" borderId="3" xfId="0" applyNumberFormat="1" applyFill="1" applyBorder="1" applyAlignment="1">
      <alignment vertical="center"/>
    </xf>
    <xf numFmtId="1" fontId="0" fillId="2" borderId="10" xfId="0" applyNumberFormat="1" applyFill="1" applyBorder="1" applyAlignment="1">
      <alignment vertical="center"/>
    </xf>
    <xf numFmtId="1" fontId="9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" fontId="0" fillId="2" borderId="9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1" fontId="0" fillId="3" borderId="6" xfId="0" applyNumberFormat="1" applyFill="1" applyBorder="1" applyAlignment="1">
      <alignment vertical="center"/>
    </xf>
    <xf numFmtId="1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0" fillId="2" borderId="5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6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vertical="center"/>
    </xf>
    <xf numFmtId="1" fontId="0" fillId="0" borderId="6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165" fontId="10" fillId="2" borderId="0" xfId="1" applyNumberFormat="1" applyFont="1" applyFill="1" applyAlignment="1">
      <alignment vertical="center"/>
    </xf>
    <xf numFmtId="164" fontId="10" fillId="0" borderId="0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8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1" fontId="0" fillId="2" borderId="12" xfId="0" applyNumberForma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2" borderId="4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2" borderId="9" xfId="0" applyNumberForma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3" borderId="6" xfId="0" applyNumberForma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3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11" fillId="0" borderId="0" xfId="0" applyFont="1" applyAlignment="1">
      <alignment vertical="center"/>
    </xf>
    <xf numFmtId="1" fontId="10" fillId="2" borderId="13" xfId="1" applyNumberFormat="1" applyFont="1" applyFill="1" applyBorder="1" applyAlignment="1">
      <alignment vertical="center"/>
    </xf>
    <xf numFmtId="3" fontId="0" fillId="0" borderId="0" xfId="0" applyNumberFormat="1"/>
    <xf numFmtId="1" fontId="3" fillId="0" borderId="0" xfId="0" applyNumberFormat="1" applyFont="1" applyAlignment="1">
      <alignment horizontal="center" vertical="center"/>
    </xf>
    <xf numFmtId="3" fontId="10" fillId="2" borderId="0" xfId="1" applyNumberFormat="1" applyFont="1" applyFill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66" fontId="0" fillId="0" borderId="0" xfId="0" applyNumberFormat="1"/>
    <xf numFmtId="164" fontId="0" fillId="0" borderId="0" xfId="0" applyNumberFormat="1"/>
    <xf numFmtId="3" fontId="9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tabSelected="1" zoomScaleNormal="100" workbookViewId="0">
      <selection activeCell="A39" sqref="A39"/>
    </sheetView>
  </sheetViews>
  <sheetFormatPr defaultRowHeight="12.75" x14ac:dyDescent="0.2"/>
  <cols>
    <col min="1" max="1" width="3.42578125" style="4" customWidth="1"/>
    <col min="2" max="2" width="3.85546875" style="4" customWidth="1"/>
    <col min="3" max="3" width="45.140625" style="4" customWidth="1"/>
    <col min="4" max="4" width="1.7109375" style="4" customWidth="1"/>
    <col min="5" max="5" width="10" style="76" customWidth="1"/>
    <col min="6" max="6" width="10.140625" style="76" bestFit="1" customWidth="1"/>
    <col min="7" max="7" width="1.7109375" style="4" customWidth="1"/>
    <col min="8" max="8" width="10" style="76" customWidth="1"/>
    <col min="9" max="9" width="1.7109375" style="4" customWidth="1"/>
    <col min="10" max="10" width="10" style="4" customWidth="1"/>
    <col min="11" max="11" width="1.7109375" style="4" customWidth="1"/>
    <col min="12" max="12" width="10" style="4" customWidth="1"/>
    <col min="13" max="13" width="3.140625" style="4" customWidth="1"/>
    <col min="14" max="14" width="1.85546875" style="4" customWidth="1"/>
    <col min="15" max="15" width="10.7109375" bestFit="1" customWidth="1"/>
    <col min="17" max="17" width="11.85546875" bestFit="1" customWidth="1"/>
  </cols>
  <sheetData>
    <row r="1" spans="1:17" x14ac:dyDescent="0.2">
      <c r="C1" s="15" t="s">
        <v>107</v>
      </c>
      <c r="D1" s="9"/>
      <c r="E1" s="72"/>
      <c r="F1" s="72"/>
      <c r="G1" s="9"/>
      <c r="H1" s="72"/>
      <c r="J1" s="9"/>
      <c r="L1" s="9"/>
    </row>
    <row r="2" spans="1:17" ht="16.5" thickBot="1" x14ac:dyDescent="0.25">
      <c r="B2" s="16"/>
      <c r="C2" s="17" t="s">
        <v>127</v>
      </c>
      <c r="D2" s="18"/>
      <c r="E2" s="73"/>
      <c r="F2" s="73"/>
      <c r="G2" s="18"/>
      <c r="H2" s="73"/>
      <c r="I2" s="9"/>
      <c r="J2" s="40"/>
      <c r="K2" s="9"/>
      <c r="L2" s="40"/>
    </row>
    <row r="3" spans="1:17" ht="7.5" customHeight="1" thickTop="1" x14ac:dyDescent="0.2">
      <c r="B3" s="20"/>
      <c r="C3" s="20"/>
      <c r="D3" s="20"/>
      <c r="E3" s="74"/>
      <c r="F3" s="74"/>
      <c r="H3" s="74"/>
      <c r="I3" s="9"/>
      <c r="J3" s="9"/>
      <c r="K3" s="9"/>
      <c r="L3" s="9"/>
    </row>
    <row r="4" spans="1:17" x14ac:dyDescent="0.2">
      <c r="B4" s="2" t="s">
        <v>7</v>
      </c>
      <c r="E4" s="75" t="s">
        <v>8</v>
      </c>
      <c r="F4" s="90"/>
      <c r="G4" s="8"/>
      <c r="H4" s="112">
        <v>2022</v>
      </c>
      <c r="I4" s="9"/>
      <c r="J4" s="112">
        <v>2021</v>
      </c>
      <c r="K4" s="9"/>
      <c r="L4" s="23">
        <v>2020</v>
      </c>
    </row>
    <row r="5" spans="1:17" x14ac:dyDescent="0.2">
      <c r="C5" s="24" t="s">
        <v>6</v>
      </c>
      <c r="E5" s="76">
        <v>495798.68</v>
      </c>
      <c r="G5" s="8"/>
      <c r="H5" s="76">
        <f>424148.65+1552.6+2514.8</f>
        <v>428216.05</v>
      </c>
      <c r="I5" s="72"/>
      <c r="J5" s="76">
        <f>480831.76+1417.32</f>
        <v>482249.08</v>
      </c>
      <c r="K5" s="72"/>
      <c r="L5" s="76">
        <f>445694.43+1163.89</f>
        <v>446858.32</v>
      </c>
    </row>
    <row r="6" spans="1:17" x14ac:dyDescent="0.2">
      <c r="C6" s="24" t="s">
        <v>5</v>
      </c>
      <c r="E6" s="76">
        <v>74293.899999999994</v>
      </c>
      <c r="G6" s="8"/>
      <c r="H6" s="76">
        <v>30283.51</v>
      </c>
      <c r="I6" s="72"/>
      <c r="J6" s="76">
        <v>32607.64</v>
      </c>
      <c r="K6" s="72"/>
      <c r="L6" s="76">
        <v>32649.8</v>
      </c>
    </row>
    <row r="7" spans="1:17" x14ac:dyDescent="0.2">
      <c r="C7" s="24" t="s">
        <v>4</v>
      </c>
      <c r="E7" s="76">
        <v>104417.04</v>
      </c>
      <c r="G7" s="25"/>
      <c r="H7" s="76">
        <v>114040.64</v>
      </c>
      <c r="I7" s="72"/>
      <c r="J7" s="76">
        <v>124394.16</v>
      </c>
      <c r="K7" s="72"/>
      <c r="L7" s="76">
        <v>60707.21</v>
      </c>
    </row>
    <row r="8" spans="1:17" x14ac:dyDescent="0.2">
      <c r="C8" s="24" t="s">
        <v>63</v>
      </c>
      <c r="E8" s="76">
        <v>0</v>
      </c>
      <c r="G8" s="25"/>
      <c r="H8" s="76">
        <v>0.04</v>
      </c>
      <c r="I8" s="72"/>
      <c r="J8" s="76">
        <v>236.1</v>
      </c>
      <c r="K8" s="72"/>
      <c r="L8" s="76">
        <f>-0.8+0.24</f>
        <v>-0.56000000000000005</v>
      </c>
      <c r="Q8" s="111"/>
    </row>
    <row r="9" spans="1:17" x14ac:dyDescent="0.2">
      <c r="C9" s="27" t="s">
        <v>109</v>
      </c>
      <c r="E9" s="76">
        <f>-72.33-336.03</f>
        <v>-408.35999999999996</v>
      </c>
      <c r="G9" s="8"/>
      <c r="H9" s="76">
        <v>-218.16</v>
      </c>
      <c r="I9" s="72"/>
      <c r="J9" s="76">
        <f>-24.66-324.63</f>
        <v>-349.29</v>
      </c>
      <c r="K9" s="72"/>
      <c r="L9" s="76">
        <f>-159.65-135.95</f>
        <v>-295.60000000000002</v>
      </c>
    </row>
    <row r="10" spans="1:17" ht="13.5" thickBot="1" x14ac:dyDescent="0.25">
      <c r="A10" s="12"/>
      <c r="B10" s="2" t="s">
        <v>9</v>
      </c>
      <c r="E10" s="77">
        <f>SUM(E5:E9)</f>
        <v>674101.26</v>
      </c>
      <c r="F10" s="94"/>
      <c r="G10" s="25"/>
      <c r="H10" s="77">
        <f>SUM(H5:H9)</f>
        <v>572322.07999999996</v>
      </c>
      <c r="I10" s="72"/>
      <c r="J10" s="77">
        <f>SUM(J5:J9)</f>
        <v>639137.68999999994</v>
      </c>
      <c r="K10" s="72"/>
      <c r="L10" s="77">
        <f>L5+L6+L7+L9</f>
        <v>539919.73</v>
      </c>
    </row>
    <row r="11" spans="1:17" ht="7.5" customHeight="1" thickTop="1" x14ac:dyDescent="0.2">
      <c r="A11" s="12"/>
      <c r="B11" s="2"/>
      <c r="E11" s="94"/>
      <c r="F11" s="94"/>
      <c r="G11" s="25"/>
      <c r="H11" s="94"/>
      <c r="I11" s="26"/>
      <c r="J11" s="94"/>
      <c r="K11" s="26"/>
      <c r="L11" s="94"/>
    </row>
    <row r="12" spans="1:17" ht="33.75" x14ac:dyDescent="0.2">
      <c r="B12" s="2" t="s">
        <v>10</v>
      </c>
      <c r="E12" s="79" t="s">
        <v>25</v>
      </c>
      <c r="F12" s="118" t="s">
        <v>33</v>
      </c>
      <c r="G12" s="8"/>
      <c r="H12" s="79" t="s">
        <v>25</v>
      </c>
      <c r="I12" s="9"/>
      <c r="J12" s="79" t="s">
        <v>25</v>
      </c>
      <c r="K12" s="9"/>
      <c r="L12" s="79" t="s">
        <v>25</v>
      </c>
    </row>
    <row r="13" spans="1:17" x14ac:dyDescent="0.2">
      <c r="C13" s="4" t="s">
        <v>3</v>
      </c>
      <c r="E13" s="76">
        <v>103609.22</v>
      </c>
      <c r="F13" s="97"/>
      <c r="G13" s="8"/>
      <c r="H13" s="76">
        <v>397138.34</v>
      </c>
      <c r="I13" s="72"/>
      <c r="J13" s="76">
        <v>81497.11</v>
      </c>
      <c r="K13" s="72"/>
      <c r="L13" s="76">
        <v>218932.46</v>
      </c>
    </row>
    <row r="14" spans="1:17" x14ac:dyDescent="0.2">
      <c r="C14" s="24" t="s">
        <v>11</v>
      </c>
      <c r="E14" s="76">
        <v>77058.070000000007</v>
      </c>
      <c r="F14" s="97">
        <v>18343.009999999998</v>
      </c>
      <c r="G14" s="8"/>
      <c r="H14" s="76">
        <v>0</v>
      </c>
      <c r="I14" s="72"/>
      <c r="J14" s="76">
        <v>6823.74</v>
      </c>
      <c r="K14" s="72"/>
      <c r="L14" s="76">
        <v>73452.42</v>
      </c>
    </row>
    <row r="15" spans="1:17" x14ac:dyDescent="0.2">
      <c r="C15" s="24" t="s">
        <v>12</v>
      </c>
      <c r="E15" s="76">
        <v>75527.13</v>
      </c>
      <c r="F15" s="97">
        <v>66514.36</v>
      </c>
      <c r="G15" s="25"/>
      <c r="H15" s="76">
        <v>84154.4</v>
      </c>
      <c r="I15" s="72"/>
      <c r="J15" s="76">
        <v>87619.59</v>
      </c>
      <c r="K15" s="72"/>
      <c r="L15" s="76">
        <v>47086.38</v>
      </c>
      <c r="Q15" s="116"/>
    </row>
    <row r="16" spans="1:17" x14ac:dyDescent="0.2">
      <c r="C16" s="24" t="s">
        <v>121</v>
      </c>
      <c r="E16" s="76">
        <v>0</v>
      </c>
      <c r="F16" s="97"/>
      <c r="G16" s="25"/>
      <c r="H16" s="76">
        <v>0</v>
      </c>
      <c r="I16" s="72"/>
      <c r="J16" s="76">
        <v>32137.03</v>
      </c>
      <c r="K16" s="72"/>
      <c r="L16" s="76">
        <v>0</v>
      </c>
    </row>
    <row r="17" spans="2:17" x14ac:dyDescent="0.2">
      <c r="C17" s="24" t="s">
        <v>13</v>
      </c>
      <c r="E17" s="76">
        <v>11974.57</v>
      </c>
      <c r="F17" s="97"/>
      <c r="G17" s="25"/>
      <c r="H17" s="76">
        <v>0</v>
      </c>
      <c r="I17" s="72"/>
      <c r="J17" s="76">
        <v>4133.3500000000004</v>
      </c>
      <c r="K17" s="72"/>
      <c r="L17" s="76">
        <v>7828.99</v>
      </c>
      <c r="Q17" s="117"/>
    </row>
    <row r="18" spans="2:17" x14ac:dyDescent="0.2">
      <c r="C18" s="24" t="s">
        <v>14</v>
      </c>
      <c r="E18" s="76">
        <v>100547.62</v>
      </c>
      <c r="F18" s="97">
        <v>19562.36</v>
      </c>
      <c r="G18" s="25"/>
      <c r="H18" s="76">
        <v>0</v>
      </c>
      <c r="I18" s="72"/>
      <c r="J18" s="76">
        <v>0</v>
      </c>
      <c r="K18" s="72"/>
      <c r="L18" s="76">
        <v>73289.679999999993</v>
      </c>
    </row>
    <row r="19" spans="2:17" x14ac:dyDescent="0.2">
      <c r="C19" s="24" t="s">
        <v>15</v>
      </c>
      <c r="E19" s="76">
        <v>0</v>
      </c>
      <c r="F19" s="97"/>
      <c r="G19" s="25"/>
      <c r="H19" s="76">
        <v>29745.75</v>
      </c>
      <c r="I19" s="72"/>
      <c r="J19" s="76">
        <v>0</v>
      </c>
      <c r="K19" s="72"/>
      <c r="L19" s="76">
        <v>10705.74</v>
      </c>
    </row>
    <row r="20" spans="2:17" x14ac:dyDescent="0.2">
      <c r="C20" s="24" t="s">
        <v>16</v>
      </c>
      <c r="E20" s="76">
        <v>18539.580000000002</v>
      </c>
      <c r="F20" s="97">
        <v>15725.52</v>
      </c>
      <c r="G20" s="25"/>
      <c r="H20" s="76">
        <v>39193.74</v>
      </c>
      <c r="I20" s="72"/>
      <c r="J20" s="76">
        <v>52740.62</v>
      </c>
      <c r="K20" s="72"/>
      <c r="L20" s="76">
        <v>1553</v>
      </c>
    </row>
    <row r="21" spans="2:17" x14ac:dyDescent="0.2">
      <c r="C21" s="24" t="s">
        <v>101</v>
      </c>
      <c r="E21" s="76">
        <v>0</v>
      </c>
      <c r="F21" s="97"/>
      <c r="G21" s="25"/>
      <c r="H21" s="76">
        <v>0</v>
      </c>
      <c r="I21" s="72"/>
      <c r="J21" s="76">
        <v>0</v>
      </c>
      <c r="K21" s="72"/>
      <c r="L21" s="76">
        <v>30294.32</v>
      </c>
    </row>
    <row r="22" spans="2:17" x14ac:dyDescent="0.2">
      <c r="C22" s="24" t="s">
        <v>17</v>
      </c>
      <c r="E22" s="76">
        <v>0</v>
      </c>
      <c r="F22" s="97"/>
      <c r="G22" s="25"/>
      <c r="H22" s="76">
        <v>0</v>
      </c>
      <c r="I22" s="72"/>
      <c r="J22" s="76">
        <v>0</v>
      </c>
      <c r="K22" s="72"/>
      <c r="L22" s="76">
        <v>0</v>
      </c>
    </row>
    <row r="23" spans="2:17" x14ac:dyDescent="0.2">
      <c r="C23" s="24" t="s">
        <v>18</v>
      </c>
      <c r="E23" s="76">
        <v>5040.7700000000004</v>
      </c>
      <c r="F23" s="98">
        <v>3993.75</v>
      </c>
      <c r="G23" s="25"/>
      <c r="H23" s="76">
        <v>4739.2700000000004</v>
      </c>
      <c r="I23" s="72"/>
      <c r="J23" s="76">
        <f>28611.12+5872.95</f>
        <v>34484.07</v>
      </c>
      <c r="K23" s="72"/>
      <c r="L23" s="76">
        <v>8547.82</v>
      </c>
      <c r="P23" s="108"/>
    </row>
    <row r="24" spans="2:17" x14ac:dyDescent="0.2">
      <c r="C24" s="24" t="s">
        <v>19</v>
      </c>
      <c r="E24" s="76">
        <v>0</v>
      </c>
      <c r="F24" s="98">
        <v>0</v>
      </c>
      <c r="G24" s="25"/>
      <c r="H24" s="76">
        <v>48257.65</v>
      </c>
      <c r="I24" s="72"/>
      <c r="J24" s="76">
        <v>0</v>
      </c>
      <c r="K24" s="72"/>
      <c r="L24" s="76">
        <v>40611.97</v>
      </c>
    </row>
    <row r="25" spans="2:17" x14ac:dyDescent="0.2">
      <c r="C25" s="24" t="s">
        <v>20</v>
      </c>
      <c r="E25" s="76">
        <v>0</v>
      </c>
      <c r="F25" s="98"/>
      <c r="G25" s="25"/>
      <c r="H25" s="76">
        <v>0</v>
      </c>
      <c r="I25" s="72"/>
      <c r="J25" s="76">
        <v>13911.84</v>
      </c>
      <c r="K25" s="72"/>
      <c r="L25" s="76">
        <v>0</v>
      </c>
    </row>
    <row r="26" spans="2:17" x14ac:dyDescent="0.2">
      <c r="C26" s="24" t="s">
        <v>21</v>
      </c>
      <c r="E26" s="76">
        <v>0</v>
      </c>
      <c r="F26" s="98"/>
      <c r="G26" s="25"/>
      <c r="H26" s="76">
        <v>0</v>
      </c>
      <c r="I26" s="72"/>
      <c r="J26" s="76">
        <v>55661.41</v>
      </c>
      <c r="K26" s="72"/>
      <c r="L26" s="76">
        <v>20615.41</v>
      </c>
    </row>
    <row r="27" spans="2:17" x14ac:dyDescent="0.2">
      <c r="C27" s="24" t="s">
        <v>22</v>
      </c>
      <c r="E27" s="76">
        <v>113488.18</v>
      </c>
      <c r="F27" s="98">
        <v>27049.88</v>
      </c>
      <c r="G27" s="25"/>
      <c r="H27" s="76">
        <v>107528.55</v>
      </c>
      <c r="I27" s="72"/>
      <c r="J27" s="76">
        <v>118750.57</v>
      </c>
      <c r="K27" s="72"/>
      <c r="L27" s="76">
        <v>123368.54</v>
      </c>
    </row>
    <row r="28" spans="2:17" x14ac:dyDescent="0.2">
      <c r="C28" s="24" t="s">
        <v>26</v>
      </c>
      <c r="E28" s="76">
        <v>51608.45</v>
      </c>
      <c r="F28" s="98">
        <v>32406.14</v>
      </c>
      <c r="G28" s="8"/>
      <c r="H28" s="76">
        <v>137220.46</v>
      </c>
      <c r="I28" s="72"/>
      <c r="J28" s="76">
        <v>101069.1</v>
      </c>
      <c r="K28" s="72"/>
      <c r="L28" s="76">
        <f>5682.92+14680+22232.75+6363.33+1398.87+13313+12719.75</f>
        <v>76390.62</v>
      </c>
    </row>
    <row r="29" spans="2:17" x14ac:dyDescent="0.2">
      <c r="C29" s="24" t="s">
        <v>120</v>
      </c>
      <c r="E29" s="76">
        <f>2433.06+925.6+9554.76+2183.76</f>
        <v>15097.18</v>
      </c>
      <c r="F29" s="98"/>
      <c r="G29" s="8"/>
      <c r="H29" s="76">
        <f>350+17148.24+1957.88</f>
        <v>19456.120000000003</v>
      </c>
      <c r="I29" s="72"/>
      <c r="J29" s="76">
        <f>2352.81+9795.41</f>
        <v>12148.22</v>
      </c>
      <c r="K29" s="72"/>
      <c r="L29" s="76">
        <f>2025+50+50+165.98+100+50+256+100+4227.58+4758.62</f>
        <v>11783.18</v>
      </c>
    </row>
    <row r="30" spans="2:17" ht="25.5" x14ac:dyDescent="0.2">
      <c r="C30" s="5" t="s">
        <v>28</v>
      </c>
      <c r="E30" s="76">
        <f>1281+2853.49+4818.95</f>
        <v>8953.4399999999987</v>
      </c>
      <c r="F30" s="98"/>
      <c r="G30" s="8"/>
      <c r="H30" s="76">
        <f>1281+1527.08+2389.26</f>
        <v>5197.34</v>
      </c>
      <c r="I30" s="72"/>
      <c r="J30" s="76">
        <f>1267+6121.8</f>
        <v>7388.8</v>
      </c>
      <c r="K30" s="72"/>
      <c r="L30" s="76">
        <f>358.1+3227.5+1217.9+1249</f>
        <v>6052.5</v>
      </c>
    </row>
    <row r="31" spans="2:17" x14ac:dyDescent="0.2">
      <c r="C31" s="24" t="s">
        <v>29</v>
      </c>
      <c r="E31" s="76">
        <v>132.4</v>
      </c>
      <c r="F31" s="99"/>
      <c r="G31" s="8"/>
      <c r="H31" s="76">
        <v>0</v>
      </c>
      <c r="I31" s="72"/>
      <c r="J31" s="76">
        <f>124.8+0</f>
        <v>124.8</v>
      </c>
      <c r="K31" s="72"/>
      <c r="L31" s="76">
        <v>249.6</v>
      </c>
    </row>
    <row r="32" spans="2:17" x14ac:dyDescent="0.2">
      <c r="B32" s="2" t="s">
        <v>30</v>
      </c>
      <c r="E32" s="80">
        <f>SUM(E13:E31)</f>
        <v>581576.61</v>
      </c>
      <c r="G32" s="25"/>
      <c r="H32" s="80">
        <f>SUM(H13:H31)</f>
        <v>872631.62</v>
      </c>
      <c r="I32" s="94"/>
      <c r="J32" s="80">
        <f>SUM(J13:J31)</f>
        <v>608490.25000000012</v>
      </c>
      <c r="K32" s="94"/>
      <c r="L32" s="80">
        <f>SUM(L13:L31)</f>
        <v>750762.63000000012</v>
      </c>
    </row>
    <row r="33" spans="1:15" x14ac:dyDescent="0.2">
      <c r="A33" s="63"/>
      <c r="B33" s="63"/>
      <c r="C33" s="24" t="s">
        <v>24</v>
      </c>
      <c r="D33" s="24"/>
      <c r="E33" s="81">
        <f>-F33</f>
        <v>-183595.02000000002</v>
      </c>
      <c r="F33" s="98">
        <f>SUM(F13:F31)</f>
        <v>183595.02000000002</v>
      </c>
      <c r="G33" s="64"/>
      <c r="H33" s="81">
        <v>-266693.46000000002</v>
      </c>
      <c r="I33" s="81"/>
      <c r="J33" s="81">
        <v>-318336.48</v>
      </c>
      <c r="K33" s="81"/>
      <c r="L33" s="81">
        <v>-240920.75</v>
      </c>
      <c r="M33" s="63"/>
      <c r="N33" s="63"/>
      <c r="O33" s="108"/>
    </row>
    <row r="34" spans="1:15" x14ac:dyDescent="0.2">
      <c r="B34" s="2" t="s">
        <v>31</v>
      </c>
      <c r="E34" s="78">
        <f>E32+E33</f>
        <v>397981.58999999997</v>
      </c>
      <c r="F34" s="100"/>
      <c r="G34" s="25"/>
      <c r="H34" s="78">
        <f>H32+H33</f>
        <v>605938.15999999992</v>
      </c>
      <c r="I34" s="94"/>
      <c r="J34" s="78">
        <f>J32+J33</f>
        <v>290153.77000000014</v>
      </c>
      <c r="K34" s="94"/>
      <c r="L34" s="78">
        <f>L32+L33</f>
        <v>509841.88000000012</v>
      </c>
    </row>
    <row r="35" spans="1:15" ht="6.75" customHeight="1" x14ac:dyDescent="0.2">
      <c r="F35" s="101"/>
      <c r="G35" s="8"/>
      <c r="I35" s="72"/>
      <c r="J35" s="76"/>
      <c r="K35" s="72"/>
      <c r="L35" s="76"/>
    </row>
    <row r="36" spans="1:15" x14ac:dyDescent="0.2">
      <c r="B36" s="2" t="s">
        <v>34</v>
      </c>
      <c r="E36" s="82">
        <v>91853.56</v>
      </c>
      <c r="F36" s="72"/>
      <c r="G36" s="25"/>
      <c r="H36" s="82">
        <v>-166856.92000000001</v>
      </c>
      <c r="I36" s="105"/>
      <c r="J36" s="82">
        <v>151179.91</v>
      </c>
      <c r="K36" s="105"/>
      <c r="L36" s="82">
        <v>-133130.5</v>
      </c>
    </row>
    <row r="37" spans="1:15" ht="6.75" customHeight="1" x14ac:dyDescent="0.2">
      <c r="F37" s="72"/>
      <c r="G37" s="8"/>
      <c r="I37" s="72"/>
      <c r="J37" s="76"/>
      <c r="K37" s="72"/>
      <c r="L37" s="76"/>
    </row>
    <row r="38" spans="1:15" ht="13.5" thickBot="1" x14ac:dyDescent="0.25">
      <c r="B38" s="123" t="s">
        <v>36</v>
      </c>
      <c r="C38" s="123"/>
      <c r="E38" s="83">
        <f>E34+E36</f>
        <v>489835.14999999997</v>
      </c>
      <c r="F38" s="72"/>
      <c r="G38" s="8"/>
      <c r="H38" s="83">
        <f>H34+H36</f>
        <v>439081.23999999987</v>
      </c>
      <c r="I38" s="105"/>
      <c r="J38" s="83">
        <f>J34+J36</f>
        <v>441333.68000000017</v>
      </c>
      <c r="K38" s="105"/>
      <c r="L38" s="83">
        <f>L34+L36</f>
        <v>376711.38000000012</v>
      </c>
    </row>
    <row r="39" spans="1:15" ht="8.25" customHeight="1" thickTop="1" x14ac:dyDescent="0.2">
      <c r="F39" s="72"/>
      <c r="G39" s="8"/>
      <c r="I39" s="72"/>
      <c r="J39" s="76"/>
      <c r="K39" s="72"/>
      <c r="L39" s="76"/>
    </row>
    <row r="40" spans="1:15" x14ac:dyDescent="0.2">
      <c r="B40" s="2" t="s">
        <v>35</v>
      </c>
      <c r="E40" s="84">
        <f>E10-E38</f>
        <v>184266.11000000004</v>
      </c>
      <c r="F40" s="72"/>
      <c r="G40" s="8"/>
      <c r="H40" s="84">
        <f>H10-H38</f>
        <v>133240.84000000008</v>
      </c>
      <c r="I40" s="94"/>
      <c r="J40" s="84">
        <f>J10-J38</f>
        <v>197804.00999999978</v>
      </c>
      <c r="K40" s="94"/>
      <c r="L40" s="84">
        <f>L10-L38</f>
        <v>163208.34999999986</v>
      </c>
    </row>
    <row r="41" spans="1:15" x14ac:dyDescent="0.2">
      <c r="A41" s="58"/>
      <c r="B41" s="58"/>
      <c r="C41" s="58"/>
      <c r="D41" s="58"/>
      <c r="E41" s="59">
        <f>E40/E10</f>
        <v>0.2733507870909484</v>
      </c>
      <c r="F41" s="102"/>
      <c r="G41" s="61"/>
      <c r="H41" s="59">
        <f>H40/H10</f>
        <v>0.23280744296987474</v>
      </c>
      <c r="I41" s="62"/>
      <c r="J41" s="59">
        <f>J40/J10</f>
        <v>0.30948575415729246</v>
      </c>
      <c r="K41" s="62"/>
      <c r="L41" s="59">
        <f>L40/L10</f>
        <v>0.30228261893670727</v>
      </c>
      <c r="M41" s="58"/>
      <c r="N41" s="58"/>
    </row>
    <row r="42" spans="1:15" ht="6.75" customHeight="1" x14ac:dyDescent="0.2">
      <c r="F42" s="72"/>
      <c r="G42" s="8"/>
      <c r="I42" s="9"/>
      <c r="J42" s="76"/>
      <c r="K42" s="9"/>
      <c r="L42" s="76"/>
    </row>
    <row r="43" spans="1:15" x14ac:dyDescent="0.2">
      <c r="B43" s="2" t="s">
        <v>37</v>
      </c>
      <c r="F43" s="72"/>
      <c r="G43" s="8"/>
      <c r="I43" s="9"/>
      <c r="J43" s="76"/>
      <c r="K43" s="9"/>
      <c r="L43" s="76"/>
    </row>
    <row r="44" spans="1:15" x14ac:dyDescent="0.2">
      <c r="C44" s="24" t="s">
        <v>38</v>
      </c>
      <c r="E44" s="76">
        <f>118.2+13903.41+12282.05</f>
        <v>26303.66</v>
      </c>
      <c r="F44" s="72"/>
      <c r="G44" s="8"/>
      <c r="H44" s="76">
        <f>18555.58+18233.89</f>
        <v>36789.47</v>
      </c>
      <c r="I44" s="72"/>
      <c r="J44" s="76">
        <f>22136.74+14520.66</f>
        <v>36657.4</v>
      </c>
      <c r="K44" s="72"/>
      <c r="L44" s="76">
        <f>75+20756.66+6623.78</f>
        <v>27455.439999999999</v>
      </c>
    </row>
    <row r="45" spans="1:15" x14ac:dyDescent="0.2">
      <c r="C45" s="24" t="s">
        <v>39</v>
      </c>
      <c r="E45" s="76">
        <v>0</v>
      </c>
      <c r="F45" s="72"/>
      <c r="G45" s="8"/>
      <c r="H45" s="76">
        <v>0</v>
      </c>
      <c r="I45" s="72"/>
      <c r="J45" s="76">
        <v>119</v>
      </c>
      <c r="K45" s="72"/>
      <c r="L45" s="76">
        <v>0</v>
      </c>
    </row>
    <row r="46" spans="1:15" x14ac:dyDescent="0.2">
      <c r="C46" s="24" t="s">
        <v>40</v>
      </c>
      <c r="E46" s="76">
        <v>3614</v>
      </c>
      <c r="F46" s="72"/>
      <c r="G46" s="8"/>
      <c r="H46" s="76">
        <v>854</v>
      </c>
      <c r="I46" s="72"/>
      <c r="J46" s="76">
        <v>287.8</v>
      </c>
      <c r="K46" s="72"/>
      <c r="L46" s="76">
        <v>3028</v>
      </c>
    </row>
    <row r="47" spans="1:15" x14ac:dyDescent="0.2">
      <c r="B47" s="123" t="s">
        <v>41</v>
      </c>
      <c r="C47" s="124"/>
      <c r="E47" s="84">
        <f>SUM(E44:E46)</f>
        <v>29917.66</v>
      </c>
      <c r="F47" s="72"/>
      <c r="G47" s="8"/>
      <c r="H47" s="84">
        <f>SUM(H44:H46)</f>
        <v>37643.47</v>
      </c>
      <c r="I47" s="94"/>
      <c r="J47" s="84">
        <f>SUM(J44:J46)</f>
        <v>37064.200000000004</v>
      </c>
      <c r="K47" s="94"/>
      <c r="L47" s="84">
        <f>SUM(L44:L46)</f>
        <v>30483.439999999999</v>
      </c>
    </row>
    <row r="48" spans="1:15" ht="6.75" customHeight="1" x14ac:dyDescent="0.2">
      <c r="F48" s="72"/>
      <c r="G48" s="8"/>
      <c r="I48" s="72"/>
      <c r="J48" s="76"/>
      <c r="K48" s="72"/>
      <c r="L48" s="76"/>
    </row>
    <row r="49" spans="1:15" ht="13.5" thickBot="1" x14ac:dyDescent="0.25">
      <c r="B49" s="2" t="s">
        <v>42</v>
      </c>
      <c r="E49" s="122">
        <f>E40-E47</f>
        <v>154348.45000000004</v>
      </c>
      <c r="F49" s="72"/>
      <c r="G49" s="8"/>
      <c r="H49" s="85">
        <f>H40-H47</f>
        <v>95597.370000000083</v>
      </c>
      <c r="I49" s="89"/>
      <c r="J49" s="85">
        <f>J40-J47</f>
        <v>160739.80999999976</v>
      </c>
      <c r="K49" s="89"/>
      <c r="L49" s="85">
        <f>L40-L47</f>
        <v>132724.90999999986</v>
      </c>
    </row>
    <row r="50" spans="1:15" ht="13.5" thickTop="1" x14ac:dyDescent="0.2">
      <c r="A50" s="58"/>
      <c r="B50" s="58"/>
      <c r="C50" s="58"/>
      <c r="D50" s="58"/>
      <c r="E50" s="59">
        <f>E49/E10</f>
        <v>0.22896923527483101</v>
      </c>
      <c r="F50" s="102"/>
      <c r="G50" s="61"/>
      <c r="H50" s="59">
        <f>H49/H10</f>
        <v>0.16703421611830893</v>
      </c>
      <c r="I50" s="62"/>
      <c r="J50" s="59">
        <f>J49/J10</f>
        <v>0.25149480701098975</v>
      </c>
      <c r="K50" s="62"/>
      <c r="L50" s="59">
        <f>L49/L10</f>
        <v>0.24582341156527077</v>
      </c>
      <c r="M50" s="58"/>
      <c r="N50" s="58"/>
    </row>
    <row r="51" spans="1:15" ht="6.75" customHeight="1" x14ac:dyDescent="0.2">
      <c r="A51" s="58"/>
      <c r="B51" s="58"/>
      <c r="C51" s="58"/>
      <c r="D51" s="58"/>
      <c r="E51" s="59"/>
      <c r="F51" s="102"/>
      <c r="G51" s="61"/>
      <c r="H51" s="59"/>
      <c r="I51" s="62"/>
      <c r="J51" s="59"/>
      <c r="K51" s="62"/>
      <c r="L51" s="59"/>
      <c r="M51" s="58"/>
      <c r="N51" s="58"/>
    </row>
    <row r="52" spans="1:15" x14ac:dyDescent="0.2">
      <c r="A52" s="58"/>
      <c r="B52" s="109" t="s">
        <v>110</v>
      </c>
      <c r="C52" s="58"/>
      <c r="D52" s="58"/>
      <c r="E52" s="59"/>
      <c r="F52" s="102"/>
      <c r="G52" s="61"/>
      <c r="H52" s="59"/>
      <c r="I52" s="62"/>
      <c r="J52" s="59"/>
      <c r="K52" s="62"/>
      <c r="L52" s="59"/>
      <c r="M52" s="58"/>
      <c r="N52" s="58"/>
    </row>
    <row r="53" spans="1:15" x14ac:dyDescent="0.2">
      <c r="A53" s="58"/>
      <c r="B53" s="109"/>
      <c r="C53" s="58" t="s">
        <v>124</v>
      </c>
      <c r="D53" s="58"/>
      <c r="E53" s="113">
        <f>2760+678</f>
        <v>3438</v>
      </c>
      <c r="F53" s="102"/>
      <c r="G53" s="114"/>
      <c r="H53" s="113">
        <v>1663.33</v>
      </c>
      <c r="I53" s="115"/>
      <c r="J53" s="113">
        <v>0</v>
      </c>
      <c r="K53" s="115"/>
      <c r="L53" s="113">
        <v>0</v>
      </c>
      <c r="M53" s="58"/>
      <c r="N53" s="58"/>
    </row>
    <row r="54" spans="1:15" x14ac:dyDescent="0.2">
      <c r="C54" s="24" t="s">
        <v>53</v>
      </c>
      <c r="E54" s="76">
        <v>1039.68</v>
      </c>
      <c r="F54" s="72"/>
      <c r="G54" s="8"/>
      <c r="H54" s="76">
        <f>55+1229.6</f>
        <v>1284.5999999999999</v>
      </c>
      <c r="I54" s="72"/>
      <c r="J54" s="76">
        <f>80+876.8</f>
        <v>956.8</v>
      </c>
      <c r="K54" s="72"/>
      <c r="L54" s="76">
        <v>876.8</v>
      </c>
    </row>
    <row r="55" spans="1:15" ht="13.5" thickBot="1" x14ac:dyDescent="0.25">
      <c r="A55" s="58"/>
      <c r="B55" s="109" t="s">
        <v>111</v>
      </c>
      <c r="C55" s="58"/>
      <c r="D55" s="58"/>
      <c r="E55" s="110">
        <f>SUM(E53:E54)</f>
        <v>4477.68</v>
      </c>
      <c r="F55" s="102"/>
      <c r="G55" s="61"/>
      <c r="H55" s="110">
        <f>SUM(H53:H54)</f>
        <v>2947.93</v>
      </c>
      <c r="I55" s="62"/>
      <c r="J55" s="110">
        <f>SUM(J53:J54)</f>
        <v>956.8</v>
      </c>
      <c r="K55" s="62"/>
      <c r="L55" s="110">
        <f>SUM(L53:L54)</f>
        <v>876.8</v>
      </c>
      <c r="M55" s="58"/>
      <c r="N55" s="58"/>
      <c r="O55" s="1"/>
    </row>
    <row r="56" spans="1:15" ht="9" customHeight="1" thickTop="1" x14ac:dyDescent="0.2">
      <c r="F56" s="72"/>
      <c r="G56" s="8"/>
      <c r="I56" s="9"/>
      <c r="J56" s="76"/>
      <c r="K56" s="9"/>
      <c r="L56" s="76"/>
    </row>
    <row r="57" spans="1:15" x14ac:dyDescent="0.2">
      <c r="B57" s="2" t="s">
        <v>43</v>
      </c>
      <c r="F57" s="72"/>
      <c r="G57" s="8"/>
      <c r="I57" s="9"/>
      <c r="J57" s="76"/>
      <c r="K57" s="9"/>
      <c r="L57" s="76"/>
    </row>
    <row r="58" spans="1:15" ht="25.5" x14ac:dyDescent="0.2">
      <c r="C58" s="5" t="s">
        <v>44</v>
      </c>
      <c r="E58" s="76">
        <v>5604</v>
      </c>
      <c r="F58" s="72"/>
      <c r="G58" s="8"/>
      <c r="H58" s="76">
        <v>6684</v>
      </c>
      <c r="I58" s="72"/>
      <c r="J58" s="76">
        <v>10931</v>
      </c>
      <c r="K58" s="72"/>
      <c r="L58" s="76">
        <v>0</v>
      </c>
    </row>
    <row r="59" spans="1:15" x14ac:dyDescent="0.2">
      <c r="C59" s="5" t="s">
        <v>128</v>
      </c>
      <c r="E59" s="76">
        <v>21.57</v>
      </c>
      <c r="F59" s="72"/>
      <c r="G59" s="8"/>
      <c r="H59" s="76">
        <v>0</v>
      </c>
      <c r="I59" s="72"/>
      <c r="J59" s="76">
        <v>0</v>
      </c>
      <c r="K59" s="72"/>
      <c r="L59" s="76">
        <v>0</v>
      </c>
    </row>
    <row r="60" spans="1:15" x14ac:dyDescent="0.2">
      <c r="C60" s="24" t="s">
        <v>40</v>
      </c>
      <c r="E60" s="76">
        <v>375</v>
      </c>
      <c r="F60" s="72"/>
      <c r="G60" s="8"/>
      <c r="H60" s="76">
        <v>257</v>
      </c>
      <c r="I60" s="72"/>
      <c r="J60" s="76">
        <v>2340</v>
      </c>
      <c r="K60" s="72"/>
      <c r="L60" s="76">
        <f>600.1+395.69</f>
        <v>995.79</v>
      </c>
    </row>
    <row r="61" spans="1:15" x14ac:dyDescent="0.2">
      <c r="B61" s="123" t="s">
        <v>46</v>
      </c>
      <c r="C61" s="124"/>
      <c r="E61" s="84">
        <f>SUM(E58:E60)</f>
        <v>6000.57</v>
      </c>
      <c r="F61" s="72"/>
      <c r="G61" s="8"/>
      <c r="H61" s="84">
        <f>SUM(H58:H60)</f>
        <v>6941</v>
      </c>
      <c r="I61" s="94"/>
      <c r="J61" s="84">
        <f>SUM(J58:J60)</f>
        <v>13271</v>
      </c>
      <c r="K61" s="94"/>
      <c r="L61" s="84">
        <f>SUM(L58:L60)</f>
        <v>995.79</v>
      </c>
      <c r="O61" s="1"/>
    </row>
    <row r="62" spans="1:15" ht="7.5" customHeight="1" x14ac:dyDescent="0.2">
      <c r="E62" s="74"/>
      <c r="F62" s="72"/>
      <c r="G62" s="8"/>
      <c r="H62" s="74"/>
      <c r="I62" s="94"/>
      <c r="J62" s="74"/>
      <c r="K62" s="94"/>
      <c r="L62" s="74"/>
    </row>
    <row r="63" spans="1:15" x14ac:dyDescent="0.2">
      <c r="B63" s="123" t="s">
        <v>60</v>
      </c>
      <c r="C63" s="124"/>
      <c r="F63" s="72"/>
      <c r="G63" s="8"/>
      <c r="I63" s="72"/>
      <c r="J63" s="76"/>
      <c r="K63" s="72"/>
      <c r="L63" s="76"/>
    </row>
    <row r="64" spans="1:15" x14ac:dyDescent="0.2">
      <c r="C64" s="24" t="s">
        <v>48</v>
      </c>
      <c r="E64" s="76">
        <f>49295+6161.92-3521.34+151.6+1681</f>
        <v>53768.18</v>
      </c>
      <c r="F64" s="72"/>
      <c r="G64" s="8"/>
      <c r="H64" s="76">
        <f>37510+4688.77+1646.44+132.6</f>
        <v>43977.810000000005</v>
      </c>
      <c r="I64" s="72"/>
      <c r="J64" s="76">
        <f>34750+4343.8+1447+51.32</f>
        <v>40592.120000000003</v>
      </c>
      <c r="K64" s="72"/>
      <c r="L64" s="76">
        <f>38738+4842.28</f>
        <v>43580.28</v>
      </c>
    </row>
    <row r="65" spans="2:15" x14ac:dyDescent="0.2">
      <c r="C65" s="24" t="s">
        <v>102</v>
      </c>
      <c r="E65" s="76">
        <v>2055</v>
      </c>
      <c r="F65" s="72"/>
      <c r="G65" s="8"/>
      <c r="H65" s="76">
        <v>1749</v>
      </c>
      <c r="I65" s="72"/>
      <c r="J65" s="76">
        <v>1657</v>
      </c>
      <c r="K65" s="72"/>
      <c r="L65" s="76">
        <f>1584.75+1264+81.28</f>
        <v>2930.03</v>
      </c>
    </row>
    <row r="66" spans="2:15" x14ac:dyDescent="0.2">
      <c r="C66" s="24" t="s">
        <v>50</v>
      </c>
      <c r="E66" s="76">
        <v>3628.8</v>
      </c>
      <c r="F66" s="72"/>
      <c r="G66" s="8"/>
      <c r="H66" s="76">
        <v>3628.98</v>
      </c>
      <c r="I66" s="72"/>
      <c r="J66" s="76">
        <v>3628.8</v>
      </c>
      <c r="K66" s="72"/>
      <c r="L66" s="76">
        <v>3628.8</v>
      </c>
      <c r="O66" s="1"/>
    </row>
    <row r="67" spans="2:15" x14ac:dyDescent="0.2">
      <c r="C67" s="24" t="s">
        <v>51</v>
      </c>
      <c r="E67" s="76">
        <v>390.8</v>
      </c>
      <c r="F67" s="72"/>
      <c r="G67" s="8"/>
      <c r="H67" s="76">
        <v>346.4</v>
      </c>
      <c r="I67" s="72"/>
      <c r="J67" s="76">
        <v>353.2</v>
      </c>
      <c r="K67" s="72"/>
      <c r="L67" s="76">
        <v>112</v>
      </c>
      <c r="O67" s="1"/>
    </row>
    <row r="68" spans="2:15" x14ac:dyDescent="0.2">
      <c r="C68" s="24" t="s">
        <v>52</v>
      </c>
      <c r="E68" s="76">
        <v>6407.81</v>
      </c>
      <c r="F68" s="72"/>
      <c r="G68" s="8"/>
      <c r="H68" s="76">
        <v>5843.14</v>
      </c>
      <c r="I68" s="72"/>
      <c r="J68" s="76">
        <v>5783.05</v>
      </c>
      <c r="K68" s="72"/>
      <c r="L68" s="76">
        <v>6505.22</v>
      </c>
      <c r="O68" s="1"/>
    </row>
    <row r="69" spans="2:15" x14ac:dyDescent="0.2">
      <c r="C69" s="24" t="s">
        <v>54</v>
      </c>
      <c r="E69" s="76">
        <v>3089.6</v>
      </c>
      <c r="F69" s="72"/>
      <c r="G69" s="8"/>
      <c r="H69" s="76">
        <v>1585.8</v>
      </c>
      <c r="I69" s="72"/>
      <c r="J69" s="76">
        <v>3116.4</v>
      </c>
      <c r="K69" s="72"/>
      <c r="L69" s="76">
        <f>2522+845.6</f>
        <v>3367.6</v>
      </c>
      <c r="O69" s="1"/>
    </row>
    <row r="70" spans="2:15" ht="25.5" x14ac:dyDescent="0.2">
      <c r="C70" s="5" t="s">
        <v>55</v>
      </c>
      <c r="E70" s="76">
        <f>126.4</f>
        <v>126.4</v>
      </c>
      <c r="F70" s="72"/>
      <c r="G70" s="8"/>
      <c r="H70" s="76">
        <v>49.2</v>
      </c>
      <c r="I70" s="72"/>
      <c r="J70" s="76">
        <v>1325.6</v>
      </c>
      <c r="K70" s="72"/>
      <c r="L70" s="76">
        <v>1718.4</v>
      </c>
      <c r="O70" s="1"/>
    </row>
    <row r="71" spans="2:15" x14ac:dyDescent="0.2">
      <c r="C71" s="24" t="s">
        <v>56</v>
      </c>
      <c r="E71" s="76">
        <v>576</v>
      </c>
      <c r="F71" s="72"/>
      <c r="G71" s="8"/>
      <c r="H71" s="76">
        <v>100</v>
      </c>
      <c r="I71" s="72"/>
      <c r="J71" s="76">
        <v>100</v>
      </c>
      <c r="K71" s="72"/>
      <c r="L71" s="76">
        <f>185.6+128.5</f>
        <v>314.10000000000002</v>
      </c>
      <c r="O71" s="1"/>
    </row>
    <row r="72" spans="2:15" x14ac:dyDescent="0.2">
      <c r="C72" s="24" t="s">
        <v>91</v>
      </c>
      <c r="E72" s="76">
        <v>6245.28</v>
      </c>
      <c r="F72" s="72"/>
      <c r="G72" s="8"/>
      <c r="H72" s="76">
        <v>5078.8599999999997</v>
      </c>
      <c r="I72" s="72"/>
      <c r="J72" s="76">
        <v>6236.19</v>
      </c>
      <c r="K72" s="72"/>
      <c r="L72" s="76">
        <v>6464.22</v>
      </c>
      <c r="O72" s="1"/>
    </row>
    <row r="73" spans="2:15" x14ac:dyDescent="0.2">
      <c r="C73" s="24" t="s">
        <v>57</v>
      </c>
      <c r="E73" s="76">
        <v>1005.78</v>
      </c>
      <c r="F73" s="72"/>
      <c r="G73" s="8"/>
      <c r="H73" s="76">
        <v>729.2</v>
      </c>
      <c r="I73" s="72"/>
      <c r="J73" s="76">
        <v>923</v>
      </c>
      <c r="K73" s="72"/>
      <c r="L73" s="76">
        <v>994</v>
      </c>
      <c r="O73" s="1"/>
    </row>
    <row r="74" spans="2:15" x14ac:dyDescent="0.2">
      <c r="C74" s="24" t="s">
        <v>74</v>
      </c>
      <c r="E74" s="76">
        <v>0</v>
      </c>
      <c r="F74" s="72"/>
      <c r="G74" s="25"/>
      <c r="H74" s="76">
        <v>0</v>
      </c>
      <c r="I74" s="72"/>
      <c r="J74" s="76">
        <v>0</v>
      </c>
      <c r="K74" s="72"/>
      <c r="L74" s="76">
        <v>0</v>
      </c>
      <c r="O74" s="1"/>
    </row>
    <row r="75" spans="2:15" x14ac:dyDescent="0.2">
      <c r="C75" s="24" t="s">
        <v>126</v>
      </c>
      <c r="E75" s="76">
        <v>0</v>
      </c>
      <c r="F75" s="72"/>
      <c r="G75" s="25"/>
      <c r="H75" s="76">
        <v>19700</v>
      </c>
      <c r="I75" s="72"/>
      <c r="J75" s="76">
        <v>0</v>
      </c>
      <c r="K75" s="72"/>
      <c r="L75" s="76">
        <v>0</v>
      </c>
      <c r="O75" s="1"/>
    </row>
    <row r="76" spans="2:15" x14ac:dyDescent="0.2">
      <c r="C76" s="24" t="s">
        <v>40</v>
      </c>
      <c r="E76" s="76">
        <v>0</v>
      </c>
      <c r="F76" s="72"/>
      <c r="G76" s="8"/>
      <c r="H76" s="76">
        <f>161.6+235.2</f>
        <v>396.79999999999995</v>
      </c>
      <c r="I76" s="72"/>
      <c r="J76" s="76">
        <v>71.2</v>
      </c>
      <c r="K76" s="72"/>
      <c r="L76" s="76">
        <v>0</v>
      </c>
    </row>
    <row r="77" spans="2:15" x14ac:dyDescent="0.2">
      <c r="B77" s="123" t="s">
        <v>59</v>
      </c>
      <c r="C77" s="124"/>
      <c r="E77" s="84">
        <f>SUM(E64:E76)</f>
        <v>77293.650000000009</v>
      </c>
      <c r="F77" s="72"/>
      <c r="G77" s="25"/>
      <c r="H77" s="84">
        <f>SUM(H64:H76)</f>
        <v>83185.190000000017</v>
      </c>
      <c r="I77" s="94"/>
      <c r="J77" s="84">
        <f>SUM(J64:J76)</f>
        <v>63786.560000000005</v>
      </c>
      <c r="K77" s="94"/>
      <c r="L77" s="84">
        <f>SUM(L64:L76)</f>
        <v>69614.649999999994</v>
      </c>
      <c r="O77" s="1"/>
    </row>
    <row r="78" spans="2:15" ht="8.25" customHeight="1" x14ac:dyDescent="0.2">
      <c r="F78" s="72"/>
      <c r="G78" s="8"/>
      <c r="I78" s="72"/>
      <c r="J78" s="76"/>
      <c r="K78" s="72"/>
      <c r="L78" s="76"/>
    </row>
    <row r="79" spans="2:15" ht="13.5" thickBot="1" x14ac:dyDescent="0.25">
      <c r="B79" s="2" t="s">
        <v>61</v>
      </c>
      <c r="E79" s="77">
        <f>E49-E55+E61-E77</f>
        <v>78577.690000000046</v>
      </c>
      <c r="F79" s="72"/>
      <c r="G79" s="25"/>
      <c r="H79" s="77">
        <f>H49-H55+H61-H77</f>
        <v>16405.250000000073</v>
      </c>
      <c r="I79" s="94"/>
      <c r="J79" s="77">
        <f>J49-J55+J61-J77</f>
        <v>109267.44999999978</v>
      </c>
      <c r="K79" s="94"/>
      <c r="L79" s="77">
        <f>L49-L55+L61-L77</f>
        <v>63229.249999999884</v>
      </c>
      <c r="O79" s="1"/>
    </row>
    <row r="80" spans="2:15" ht="9" customHeight="1" thickTop="1" x14ac:dyDescent="0.2">
      <c r="E80" s="86"/>
      <c r="F80" s="72"/>
      <c r="G80" s="8"/>
      <c r="H80" s="86"/>
      <c r="I80" s="105"/>
      <c r="J80" s="86"/>
      <c r="K80" s="105"/>
      <c r="L80" s="86"/>
    </row>
    <row r="81" spans="1:15" x14ac:dyDescent="0.2">
      <c r="B81" s="123" t="s">
        <v>112</v>
      </c>
      <c r="C81" s="124"/>
      <c r="F81" s="72"/>
      <c r="G81" s="8"/>
      <c r="I81" s="72"/>
      <c r="J81" s="76"/>
      <c r="K81" s="72"/>
      <c r="L81" s="76"/>
    </row>
    <row r="82" spans="1:15" x14ac:dyDescent="0.2">
      <c r="C82" s="24" t="s">
        <v>129</v>
      </c>
      <c r="E82" s="76">
        <v>12459.8</v>
      </c>
      <c r="F82" s="72"/>
      <c r="G82" s="25"/>
      <c r="H82" s="76">
        <f>5350+7552.47</f>
        <v>12902.470000000001</v>
      </c>
      <c r="I82" s="72"/>
      <c r="J82" s="76">
        <v>14553</v>
      </c>
      <c r="K82" s="72"/>
      <c r="L82" s="76">
        <v>0</v>
      </c>
      <c r="O82" s="1"/>
    </row>
    <row r="83" spans="1:15" x14ac:dyDescent="0.2">
      <c r="C83" s="24" t="s">
        <v>103</v>
      </c>
      <c r="E83" s="76">
        <v>0</v>
      </c>
      <c r="F83" s="72"/>
      <c r="G83" s="25"/>
      <c r="H83" s="76">
        <v>0</v>
      </c>
      <c r="I83" s="72"/>
      <c r="J83" s="76">
        <v>0</v>
      </c>
      <c r="K83" s="72"/>
      <c r="L83" s="76">
        <v>4544.05</v>
      </c>
      <c r="O83" s="1"/>
    </row>
    <row r="84" spans="1:15" x14ac:dyDescent="0.2">
      <c r="C84" s="24" t="s">
        <v>114</v>
      </c>
      <c r="E84" s="76">
        <v>0</v>
      </c>
      <c r="F84" s="72"/>
      <c r="G84" s="25"/>
      <c r="H84" s="76">
        <v>27.65</v>
      </c>
      <c r="I84" s="72"/>
      <c r="J84" s="76">
        <v>0.45</v>
      </c>
      <c r="K84" s="72"/>
      <c r="L84" s="76">
        <v>5.79</v>
      </c>
      <c r="O84" s="1"/>
    </row>
    <row r="85" spans="1:15" x14ac:dyDescent="0.2">
      <c r="C85" s="24" t="s">
        <v>58</v>
      </c>
      <c r="E85" s="76">
        <v>2765</v>
      </c>
      <c r="F85" s="72"/>
      <c r="G85" s="8"/>
      <c r="H85" s="76">
        <v>2407.5</v>
      </c>
      <c r="I85" s="72"/>
      <c r="J85" s="76">
        <v>2567.5</v>
      </c>
      <c r="K85" s="72"/>
      <c r="L85" s="76">
        <v>900</v>
      </c>
      <c r="O85" s="1"/>
    </row>
    <row r="86" spans="1:15" ht="13.5" thickBot="1" x14ac:dyDescent="0.25">
      <c r="B86" s="123" t="s">
        <v>113</v>
      </c>
      <c r="C86" s="124"/>
      <c r="E86" s="77">
        <f>SUM(E82:E85)</f>
        <v>15224.8</v>
      </c>
      <c r="F86" s="72"/>
      <c r="G86" s="25"/>
      <c r="H86" s="77">
        <f>SUM(H82:H85)</f>
        <v>15337.62</v>
      </c>
      <c r="I86" s="94"/>
      <c r="J86" s="77">
        <f>SUM(J82:J85)</f>
        <v>17120.95</v>
      </c>
      <c r="K86" s="94"/>
      <c r="L86" s="77">
        <f>SUM(L82:L85)</f>
        <v>5449.84</v>
      </c>
    </row>
    <row r="87" spans="1:15" ht="8.25" customHeight="1" thickTop="1" x14ac:dyDescent="0.2">
      <c r="E87" s="74"/>
      <c r="F87" s="72"/>
      <c r="G87" s="8"/>
      <c r="H87" s="74"/>
      <c r="I87" s="94"/>
      <c r="J87" s="74"/>
      <c r="K87" s="94"/>
      <c r="L87" s="74"/>
    </row>
    <row r="88" spans="1:15" ht="13.5" thickBot="1" x14ac:dyDescent="0.25">
      <c r="A88" s="9"/>
      <c r="B88" s="44" t="s">
        <v>67</v>
      </c>
      <c r="D88" s="9"/>
      <c r="E88" s="87">
        <f>E79-E86</f>
        <v>63352.890000000043</v>
      </c>
      <c r="F88" s="72"/>
      <c r="G88" s="25"/>
      <c r="H88" s="87">
        <f>H79-H86</f>
        <v>1067.630000000072</v>
      </c>
      <c r="I88" s="94"/>
      <c r="J88" s="87">
        <f>J79-J86</f>
        <v>92146.499999999782</v>
      </c>
      <c r="K88" s="94"/>
      <c r="L88" s="87">
        <f>L79-L86</f>
        <v>57779.409999999887</v>
      </c>
      <c r="O88" s="1"/>
    </row>
    <row r="89" spans="1:15" ht="8.25" customHeight="1" thickTop="1" x14ac:dyDescent="0.2">
      <c r="B89" s="46"/>
      <c r="C89" s="46"/>
      <c r="D89" s="46"/>
      <c r="E89" s="88"/>
      <c r="F89" s="103"/>
      <c r="G89" s="48"/>
      <c r="H89" s="88"/>
      <c r="I89" s="78"/>
      <c r="J89" s="88"/>
      <c r="K89" s="78"/>
      <c r="L89" s="88"/>
    </row>
    <row r="90" spans="1:15" ht="8.25" customHeight="1" x14ac:dyDescent="0.2">
      <c r="F90" s="72"/>
      <c r="G90" s="67"/>
      <c r="I90" s="72"/>
      <c r="J90" s="76"/>
      <c r="K90" s="72"/>
      <c r="L90" s="76"/>
    </row>
    <row r="91" spans="1:15" ht="15.75" x14ac:dyDescent="0.2">
      <c r="B91" s="16"/>
      <c r="C91" s="66" t="s">
        <v>90</v>
      </c>
      <c r="D91" s="40"/>
      <c r="E91" s="89"/>
      <c r="F91" s="89"/>
      <c r="G91" s="65"/>
      <c r="H91" s="89"/>
      <c r="I91" s="72"/>
      <c r="J91" s="89"/>
      <c r="K91" s="72"/>
      <c r="L91" s="89"/>
    </row>
    <row r="92" spans="1:15" ht="9.75" customHeight="1" x14ac:dyDescent="0.2">
      <c r="B92" s="16"/>
      <c r="C92" s="66"/>
      <c r="D92" s="40"/>
      <c r="E92" s="121">
        <v>2023</v>
      </c>
      <c r="F92" s="89"/>
      <c r="G92" s="65"/>
      <c r="H92" s="119">
        <v>2022</v>
      </c>
      <c r="I92" s="120"/>
      <c r="J92" s="119">
        <v>2021</v>
      </c>
      <c r="K92" s="120"/>
      <c r="L92" s="119">
        <v>2020</v>
      </c>
    </row>
    <row r="93" spans="1:15" x14ac:dyDescent="0.2">
      <c r="B93" s="2" t="s">
        <v>68</v>
      </c>
      <c r="E93" s="75" t="s">
        <v>8</v>
      </c>
      <c r="F93" s="104"/>
      <c r="G93" s="52"/>
      <c r="H93" s="75" t="s">
        <v>8</v>
      </c>
      <c r="I93" s="22"/>
      <c r="J93" s="21" t="s">
        <v>8</v>
      </c>
      <c r="K93" s="22"/>
      <c r="L93" s="21" t="s">
        <v>8</v>
      </c>
    </row>
    <row r="94" spans="1:15" x14ac:dyDescent="0.2">
      <c r="C94" s="24" t="s">
        <v>69</v>
      </c>
      <c r="E94" s="76">
        <v>2867.75</v>
      </c>
      <c r="F94" s="72"/>
      <c r="G94" s="8"/>
      <c r="H94" s="76">
        <v>1629</v>
      </c>
      <c r="I94" s="72"/>
      <c r="J94" s="76">
        <v>1596.5</v>
      </c>
      <c r="K94" s="72"/>
      <c r="L94" s="76">
        <v>551.5</v>
      </c>
    </row>
    <row r="95" spans="1:15" x14ac:dyDescent="0.2">
      <c r="C95" s="4" t="s">
        <v>104</v>
      </c>
      <c r="E95" s="76">
        <v>295644.25</v>
      </c>
      <c r="F95" s="72"/>
      <c r="G95" s="8"/>
      <c r="H95" s="76">
        <v>199664.99</v>
      </c>
      <c r="I95" s="72"/>
      <c r="J95" s="76">
        <v>327710.81</v>
      </c>
      <c r="K95" s="72"/>
      <c r="L95" s="76">
        <v>111570.81</v>
      </c>
    </row>
    <row r="96" spans="1:15" x14ac:dyDescent="0.2">
      <c r="C96" s="4" t="s">
        <v>105</v>
      </c>
      <c r="E96" s="76">
        <v>63537.02</v>
      </c>
      <c r="F96" s="72"/>
      <c r="G96" s="8"/>
      <c r="H96" s="76">
        <v>50163.68</v>
      </c>
      <c r="I96" s="72"/>
      <c r="J96" s="76">
        <v>125633.14</v>
      </c>
      <c r="K96" s="72"/>
      <c r="L96" s="76">
        <v>53051.3</v>
      </c>
    </row>
    <row r="97" spans="2:18" x14ac:dyDescent="0.2">
      <c r="B97" s="2" t="s">
        <v>70</v>
      </c>
      <c r="E97" s="84">
        <f>SUM(E94:E96)</f>
        <v>362049.02</v>
      </c>
      <c r="F97" s="94"/>
      <c r="G97" s="25"/>
      <c r="H97" s="84">
        <f>SUM(H94:H96)</f>
        <v>251457.66999999998</v>
      </c>
      <c r="I97" s="94"/>
      <c r="J97" s="84">
        <f>SUM(J94:J96)</f>
        <v>454940.45</v>
      </c>
      <c r="K97" s="94"/>
      <c r="L97" s="84">
        <f>SUM(L94:L96)</f>
        <v>165173.60999999999</v>
      </c>
      <c r="O97" s="1"/>
    </row>
    <row r="98" spans="2:18" ht="6.75" customHeight="1" x14ac:dyDescent="0.2">
      <c r="F98" s="72"/>
      <c r="G98" s="8"/>
      <c r="I98" s="72"/>
      <c r="J98" s="76"/>
      <c r="K98" s="72"/>
      <c r="L98" s="76"/>
    </row>
    <row r="99" spans="2:18" x14ac:dyDescent="0.2">
      <c r="B99" s="2" t="s">
        <v>71</v>
      </c>
      <c r="E99" s="91">
        <v>50767.14</v>
      </c>
      <c r="F99" s="72"/>
      <c r="G99" s="8"/>
      <c r="H99" s="91">
        <v>42760.2</v>
      </c>
      <c r="I99" s="72"/>
      <c r="J99" s="91">
        <v>13823</v>
      </c>
      <c r="K99" s="72"/>
      <c r="L99" s="91">
        <v>106587.58</v>
      </c>
      <c r="O99" s="1"/>
    </row>
    <row r="100" spans="2:18" ht="6.75" customHeight="1" x14ac:dyDescent="0.2">
      <c r="F100" s="72"/>
      <c r="G100" s="8"/>
      <c r="I100" s="72"/>
      <c r="J100" s="76"/>
      <c r="K100" s="72"/>
      <c r="L100" s="76"/>
    </row>
    <row r="101" spans="2:18" x14ac:dyDescent="0.2">
      <c r="B101" s="2" t="s">
        <v>72</v>
      </c>
      <c r="F101" s="72"/>
      <c r="G101" s="8"/>
      <c r="I101" s="72"/>
      <c r="J101" s="76"/>
      <c r="K101" s="72"/>
      <c r="L101" s="76"/>
      <c r="Q101" s="76"/>
    </row>
    <row r="102" spans="2:18" x14ac:dyDescent="0.2">
      <c r="C102" s="24" t="s">
        <v>73</v>
      </c>
      <c r="E102" s="76">
        <v>711677.99</v>
      </c>
      <c r="G102" s="8"/>
      <c r="H102" s="76">
        <v>803531.55</v>
      </c>
      <c r="I102" s="72"/>
      <c r="J102" s="76">
        <v>636674.63</v>
      </c>
      <c r="K102" s="72"/>
      <c r="L102" s="76">
        <v>787854.54</v>
      </c>
      <c r="O102" s="1"/>
      <c r="Q102" s="76"/>
    </row>
    <row r="103" spans="2:18" x14ac:dyDescent="0.2">
      <c r="C103" s="24" t="s">
        <v>97</v>
      </c>
      <c r="E103" s="92">
        <f>22335.65+42065.86</f>
        <v>64401.51</v>
      </c>
      <c r="G103" s="8"/>
      <c r="H103" s="92">
        <f>15846.61+7299.17+38781.96</f>
        <v>61927.74</v>
      </c>
      <c r="I103" s="106"/>
      <c r="J103" s="92">
        <f>49022.83</f>
        <v>49022.83</v>
      </c>
      <c r="K103" s="106"/>
      <c r="L103" s="92">
        <f>7479.9+81597.11+25537.6+32187.03-0.9</f>
        <v>146800.74</v>
      </c>
      <c r="O103" s="1"/>
      <c r="P103" s="76"/>
      <c r="Q103" s="111"/>
      <c r="R103" s="76"/>
    </row>
    <row r="104" spans="2:18" x14ac:dyDescent="0.2">
      <c r="C104" s="24" t="s">
        <v>76</v>
      </c>
      <c r="E104" s="76">
        <v>304859.96000000002</v>
      </c>
      <c r="G104" s="8"/>
      <c r="H104" s="76">
        <v>301374.21000000002</v>
      </c>
      <c r="I104" s="106"/>
      <c r="J104" s="76">
        <v>309599.88</v>
      </c>
      <c r="K104" s="106"/>
      <c r="L104" s="76">
        <v>330914.59999999998</v>
      </c>
      <c r="N104" s="55"/>
      <c r="O104" s="1"/>
      <c r="P104" s="76"/>
      <c r="Q104" s="92"/>
      <c r="R104" s="76"/>
    </row>
    <row r="105" spans="2:18" x14ac:dyDescent="0.2">
      <c r="C105" s="24" t="s">
        <v>75</v>
      </c>
      <c r="E105" s="76">
        <v>-253000</v>
      </c>
      <c r="G105" s="8"/>
      <c r="H105" s="76">
        <v>-253000</v>
      </c>
      <c r="I105" s="106"/>
      <c r="J105" s="76">
        <v>-253000</v>
      </c>
      <c r="K105" s="106"/>
      <c r="L105" s="76">
        <v>-253000</v>
      </c>
      <c r="O105" s="1"/>
      <c r="P105" s="92"/>
      <c r="Q105" s="92"/>
      <c r="R105" s="92"/>
    </row>
    <row r="106" spans="2:18" x14ac:dyDescent="0.2">
      <c r="C106" s="24" t="s">
        <v>77</v>
      </c>
      <c r="E106" s="92">
        <f>3713.17+4866.11</f>
        <v>8579.2799999999988</v>
      </c>
      <c r="G106" s="8"/>
      <c r="H106" s="92">
        <f>1117.11+5315.9</f>
        <v>6433.0099999999993</v>
      </c>
      <c r="I106" s="106"/>
      <c r="J106" s="92">
        <v>0</v>
      </c>
      <c r="K106" s="106"/>
      <c r="L106" s="92">
        <v>4290.58</v>
      </c>
      <c r="O106" s="1"/>
      <c r="P106" s="111"/>
      <c r="Q106" s="111"/>
      <c r="R106" s="111"/>
    </row>
    <row r="107" spans="2:18" x14ac:dyDescent="0.2">
      <c r="C107" s="24" t="s">
        <v>115</v>
      </c>
      <c r="E107" s="92">
        <v>3100</v>
      </c>
      <c r="F107" s="92"/>
      <c r="G107" s="8"/>
      <c r="H107" s="92">
        <v>3100</v>
      </c>
      <c r="I107" s="72"/>
      <c r="J107" s="92">
        <v>3100</v>
      </c>
      <c r="K107" s="72"/>
      <c r="L107" s="92">
        <v>3100</v>
      </c>
      <c r="N107" s="55"/>
      <c r="O107" s="1"/>
    </row>
    <row r="108" spans="2:18" x14ac:dyDescent="0.2">
      <c r="B108" s="2" t="s">
        <v>78</v>
      </c>
      <c r="E108" s="93">
        <f>SUM(E102:E107)</f>
        <v>839618.74</v>
      </c>
      <c r="F108" s="89"/>
      <c r="G108" s="8"/>
      <c r="H108" s="93">
        <f>SUM(H102:H107)</f>
        <v>923366.51</v>
      </c>
      <c r="I108" s="72"/>
      <c r="J108" s="93">
        <f>SUM(J102:J107)</f>
        <v>745397.34</v>
      </c>
      <c r="K108" s="72"/>
      <c r="L108" s="93">
        <f>SUM(L102:L107)</f>
        <v>1019960.4599999998</v>
      </c>
      <c r="N108" s="55"/>
    </row>
    <row r="109" spans="2:18" ht="7.5" customHeight="1" x14ac:dyDescent="0.2">
      <c r="G109" s="8"/>
      <c r="I109" s="72"/>
      <c r="J109" s="76"/>
      <c r="K109" s="72"/>
      <c r="L109" s="76"/>
      <c r="N109" s="55"/>
    </row>
    <row r="110" spans="2:18" ht="13.5" thickBot="1" x14ac:dyDescent="0.25">
      <c r="B110" s="2" t="s">
        <v>79</v>
      </c>
      <c r="E110" s="77">
        <f>SUM(E108,E99,E97)</f>
        <v>1252434.8999999999</v>
      </c>
      <c r="F110" s="94"/>
      <c r="G110" s="8"/>
      <c r="H110" s="77">
        <f>SUM(H108,H99,H97)</f>
        <v>1217584.3799999999</v>
      </c>
      <c r="I110" s="94"/>
      <c r="J110" s="77">
        <f>SUM(J108,J99,J97)</f>
        <v>1214160.79</v>
      </c>
      <c r="K110" s="94"/>
      <c r="L110" s="77">
        <f>SUM(L108,L99,L97)</f>
        <v>1291721.6499999999</v>
      </c>
      <c r="N110" s="55"/>
      <c r="O110" s="1"/>
    </row>
    <row r="111" spans="2:18" ht="8.25" customHeight="1" thickTop="1" x14ac:dyDescent="0.2">
      <c r="E111" s="74"/>
      <c r="F111" s="74"/>
      <c r="G111" s="8"/>
      <c r="H111" s="74"/>
      <c r="I111" s="94"/>
      <c r="J111" s="74"/>
      <c r="K111" s="94"/>
      <c r="L111" s="74"/>
      <c r="N111" s="55"/>
    </row>
    <row r="112" spans="2:18" x14ac:dyDescent="0.2">
      <c r="B112" s="2" t="s">
        <v>80</v>
      </c>
      <c r="G112" s="8"/>
      <c r="I112" s="72"/>
      <c r="J112" s="76"/>
      <c r="K112" s="72"/>
      <c r="L112" s="76"/>
      <c r="N112" s="55"/>
    </row>
    <row r="113" spans="2:14" x14ac:dyDescent="0.2">
      <c r="C113" s="24" t="s">
        <v>92</v>
      </c>
      <c r="E113" s="94">
        <v>89421.47</v>
      </c>
      <c r="F113" s="94"/>
      <c r="G113" s="25"/>
      <c r="H113" s="94">
        <v>99463.01</v>
      </c>
      <c r="I113" s="94"/>
      <c r="J113" s="94">
        <v>99080.79</v>
      </c>
      <c r="K113" s="94"/>
      <c r="L113" s="94">
        <v>107103.82</v>
      </c>
      <c r="N113" s="55"/>
    </row>
    <row r="114" spans="2:14" x14ac:dyDescent="0.2">
      <c r="C114" s="24" t="s">
        <v>106</v>
      </c>
      <c r="E114" s="94">
        <v>0</v>
      </c>
      <c r="F114" s="94"/>
      <c r="G114" s="25"/>
      <c r="H114" s="94">
        <v>0</v>
      </c>
      <c r="I114" s="94"/>
      <c r="J114" s="94">
        <v>0</v>
      </c>
      <c r="K114" s="94"/>
      <c r="L114" s="94">
        <v>162448</v>
      </c>
      <c r="N114" s="55"/>
    </row>
    <row r="115" spans="2:14" x14ac:dyDescent="0.2">
      <c r="C115" s="24" t="s">
        <v>117</v>
      </c>
      <c r="E115" s="76">
        <f>363.5+3377</f>
        <v>3740.5</v>
      </c>
      <c r="F115" s="94"/>
      <c r="G115" s="25"/>
      <c r="H115" s="76">
        <f>200.38+1334</f>
        <v>1534.38</v>
      </c>
      <c r="I115" s="94"/>
      <c r="J115" s="76">
        <f>258.13+3197</f>
        <v>3455.13</v>
      </c>
      <c r="K115" s="94"/>
      <c r="L115" s="76">
        <f>225.13+6250</f>
        <v>6475.13</v>
      </c>
      <c r="N115" s="55"/>
    </row>
    <row r="116" spans="2:14" x14ac:dyDescent="0.2">
      <c r="C116" s="24" t="s">
        <v>118</v>
      </c>
      <c r="E116" s="76">
        <v>0</v>
      </c>
      <c r="F116" s="94"/>
      <c r="G116" s="25"/>
      <c r="H116" s="76">
        <f>6534.17</f>
        <v>6534.17</v>
      </c>
      <c r="I116" s="94"/>
      <c r="J116" s="76">
        <v>6534.17</v>
      </c>
      <c r="K116" s="94"/>
      <c r="L116" s="76">
        <v>8078.93</v>
      </c>
      <c r="N116" s="55"/>
    </row>
    <row r="117" spans="2:14" x14ac:dyDescent="0.2">
      <c r="C117" s="24" t="s">
        <v>122</v>
      </c>
      <c r="E117" s="76">
        <v>0</v>
      </c>
      <c r="F117" s="94"/>
      <c r="G117" s="25"/>
      <c r="H117" s="76">
        <v>3156</v>
      </c>
      <c r="I117" s="94"/>
      <c r="J117" s="76">
        <f>257+10846.8</f>
        <v>11103.8</v>
      </c>
      <c r="K117" s="94"/>
      <c r="L117" s="76">
        <v>0</v>
      </c>
      <c r="N117" s="55"/>
    </row>
    <row r="118" spans="2:14" x14ac:dyDescent="0.2">
      <c r="C118" s="24" t="s">
        <v>82</v>
      </c>
      <c r="E118" s="76">
        <v>1630.1</v>
      </c>
      <c r="G118" s="8"/>
      <c r="H118" s="76">
        <v>12606.88</v>
      </c>
      <c r="I118" s="72"/>
      <c r="J118" s="76">
        <f>758.35+6.24</f>
        <v>764.59</v>
      </c>
      <c r="K118" s="72"/>
      <c r="L118" s="76">
        <f>5.79+6534.17</f>
        <v>6539.96</v>
      </c>
    </row>
    <row r="119" spans="2:14" x14ac:dyDescent="0.2">
      <c r="B119" s="2" t="s">
        <v>84</v>
      </c>
      <c r="E119" s="84">
        <f>SUM(E113:E118)</f>
        <v>94792.07</v>
      </c>
      <c r="F119" s="94"/>
      <c r="G119" s="25"/>
      <c r="H119" s="84">
        <f>SUM(H113:H118)</f>
        <v>123294.44</v>
      </c>
      <c r="I119" s="94"/>
      <c r="J119" s="84">
        <f>SUM(J113:J118)</f>
        <v>120938.48</v>
      </c>
      <c r="K119" s="94"/>
      <c r="L119" s="84">
        <f>SUM(L113:L118)</f>
        <v>290645.84000000003</v>
      </c>
    </row>
    <row r="120" spans="2:14" ht="7.5" customHeight="1" x14ac:dyDescent="0.2">
      <c r="E120" s="74"/>
      <c r="F120" s="74"/>
      <c r="G120" s="8"/>
      <c r="H120" s="74"/>
      <c r="I120" s="94"/>
      <c r="J120" s="74"/>
      <c r="K120" s="94"/>
      <c r="L120" s="74"/>
    </row>
    <row r="121" spans="2:14" x14ac:dyDescent="0.2">
      <c r="B121" s="2" t="s">
        <v>85</v>
      </c>
      <c r="G121" s="8"/>
      <c r="I121" s="72"/>
      <c r="J121" s="76"/>
      <c r="K121" s="72"/>
      <c r="L121" s="76"/>
    </row>
    <row r="122" spans="2:14" x14ac:dyDescent="0.2">
      <c r="C122" s="24" t="s">
        <v>86</v>
      </c>
      <c r="E122" s="76">
        <v>1094289.94</v>
      </c>
      <c r="G122" s="8"/>
      <c r="H122" s="76">
        <v>1093222.31</v>
      </c>
      <c r="I122" s="72"/>
      <c r="J122" s="76">
        <v>1001075.81</v>
      </c>
      <c r="K122" s="72"/>
      <c r="L122" s="76">
        <v>943296.96</v>
      </c>
    </row>
    <row r="123" spans="2:14" x14ac:dyDescent="0.2">
      <c r="C123" s="24" t="s">
        <v>87</v>
      </c>
      <c r="E123" s="76">
        <f>E88</f>
        <v>63352.890000000043</v>
      </c>
      <c r="G123" s="8"/>
      <c r="H123" s="76">
        <f>H88</f>
        <v>1067.630000000072</v>
      </c>
      <c r="I123" s="72"/>
      <c r="J123" s="76">
        <f>J88</f>
        <v>92146.499999999782</v>
      </c>
      <c r="K123" s="72"/>
      <c r="L123" s="76">
        <f>L88</f>
        <v>57779.409999999887</v>
      </c>
    </row>
    <row r="124" spans="2:14" ht="13.5" thickBot="1" x14ac:dyDescent="0.25">
      <c r="B124" s="2" t="s">
        <v>88</v>
      </c>
      <c r="E124" s="77">
        <f>SUM(E122:E123)</f>
        <v>1157642.83</v>
      </c>
      <c r="F124" s="94"/>
      <c r="G124" s="8"/>
      <c r="H124" s="77">
        <f>SUM(H122:H123)</f>
        <v>1094289.9400000002</v>
      </c>
      <c r="I124" s="94"/>
      <c r="J124" s="77">
        <f>SUM(J122:J123)</f>
        <v>1093222.3099999998</v>
      </c>
      <c r="K124" s="94"/>
      <c r="L124" s="77">
        <f>SUM(L122:L123)</f>
        <v>1001076.3699999999</v>
      </c>
    </row>
    <row r="125" spans="2:14" ht="9" customHeight="1" thickTop="1" x14ac:dyDescent="0.2">
      <c r="E125" s="74"/>
      <c r="F125" s="74"/>
      <c r="G125" s="8"/>
      <c r="H125" s="74"/>
      <c r="I125" s="94"/>
      <c r="J125" s="74"/>
      <c r="K125" s="94"/>
      <c r="L125" s="74"/>
    </row>
    <row r="126" spans="2:14" ht="13.5" thickBot="1" x14ac:dyDescent="0.25">
      <c r="B126" s="2" t="s">
        <v>89</v>
      </c>
      <c r="E126" s="77">
        <f>E119+E124</f>
        <v>1252434.9000000001</v>
      </c>
      <c r="F126" s="94"/>
      <c r="G126" s="8"/>
      <c r="H126" s="77">
        <f>H119+H124</f>
        <v>1217584.3800000001</v>
      </c>
      <c r="I126" s="94"/>
      <c r="J126" s="77">
        <f>J119+J124</f>
        <v>1214160.7899999998</v>
      </c>
      <c r="K126" s="94"/>
      <c r="L126" s="77">
        <f>L119+L124</f>
        <v>1291722.21</v>
      </c>
    </row>
    <row r="127" spans="2:14" ht="13.5" thickTop="1" x14ac:dyDescent="0.2">
      <c r="E127" s="74"/>
      <c r="F127" s="74"/>
      <c r="G127" s="8"/>
      <c r="H127" s="74"/>
      <c r="I127" s="41"/>
      <c r="J127" s="74"/>
      <c r="K127" s="41"/>
      <c r="L127" s="74"/>
    </row>
    <row r="128" spans="2:14" ht="7.5" customHeight="1" x14ac:dyDescent="0.2">
      <c r="E128" s="74"/>
      <c r="F128" s="74"/>
      <c r="G128" s="9"/>
      <c r="H128" s="74"/>
      <c r="I128" s="41"/>
      <c r="J128" s="74"/>
      <c r="K128" s="41"/>
      <c r="L128" s="74"/>
    </row>
    <row r="129" spans="2:12" x14ac:dyDescent="0.2">
      <c r="B129" s="24"/>
    </row>
    <row r="130" spans="2:12" ht="7.5" customHeight="1" x14ac:dyDescent="0.2">
      <c r="B130" s="24"/>
    </row>
    <row r="131" spans="2:12" x14ac:dyDescent="0.2">
      <c r="B131" s="1"/>
    </row>
    <row r="132" spans="2:12" x14ac:dyDescent="0.2">
      <c r="B132" s="24"/>
    </row>
    <row r="135" spans="2:12" ht="7.5" customHeight="1" x14ac:dyDescent="0.2"/>
    <row r="136" spans="2:12" x14ac:dyDescent="0.2">
      <c r="B136" s="24"/>
      <c r="D136" s="95"/>
      <c r="E136" s="95"/>
      <c r="H136" s="95"/>
      <c r="J136" s="24"/>
      <c r="L136" s="24"/>
    </row>
    <row r="137" spans="2:12" x14ac:dyDescent="0.2">
      <c r="B137" s="24"/>
      <c r="E137" s="75"/>
      <c r="F137" s="95"/>
      <c r="H137" s="21"/>
      <c r="J137" s="24"/>
      <c r="K137" s="24"/>
      <c r="L137" s="21"/>
    </row>
    <row r="139" spans="2:12" ht="8.25" customHeight="1" x14ac:dyDescent="0.2"/>
    <row r="140" spans="2:12" x14ac:dyDescent="0.2">
      <c r="B140" s="24"/>
      <c r="E140" s="75"/>
      <c r="F140" s="95"/>
      <c r="J140" s="21"/>
      <c r="K140" s="24"/>
    </row>
    <row r="142" spans="2:12" ht="6.75" customHeight="1" x14ac:dyDescent="0.2"/>
  </sheetData>
  <mergeCells count="7">
    <mergeCell ref="B86:C86"/>
    <mergeCell ref="B38:C38"/>
    <mergeCell ref="B47:C47"/>
    <mergeCell ref="B61:C61"/>
    <mergeCell ref="B63:C63"/>
    <mergeCell ref="B77:C77"/>
    <mergeCell ref="B81:C81"/>
  </mergeCells>
  <pageMargins left="0.39370078740157483" right="0.15748031496062992" top="0.31496062992125984" bottom="0.19" header="0.31496062992125984" footer="0.31496062992125984"/>
  <pageSetup paperSize="9" scale="80" orientation="portrait" horizontalDpi="4294967293" verticalDpi="0" copies="3" r:id="rId1"/>
  <rowBreaks count="1" manualBreakCount="1">
    <brk id="6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opLeftCell="A123" workbookViewId="0">
      <selection activeCell="A128" sqref="A128:XFD148"/>
    </sheetView>
  </sheetViews>
  <sheetFormatPr defaultRowHeight="12.75" x14ac:dyDescent="0.2"/>
  <cols>
    <col min="1" max="1" width="3.42578125" style="4" customWidth="1"/>
    <col min="2" max="2" width="3.85546875" style="4" customWidth="1"/>
    <col min="3" max="3" width="45.140625" style="4" customWidth="1"/>
    <col min="4" max="4" width="1.7109375" style="4" customWidth="1"/>
    <col min="5" max="5" width="10" style="76" customWidth="1"/>
    <col min="6" max="6" width="10.140625" style="76" bestFit="1" customWidth="1"/>
    <col min="7" max="7" width="1.7109375" style="4" customWidth="1"/>
    <col min="8" max="8" width="10" style="76" customWidth="1"/>
    <col min="9" max="9" width="1.7109375" style="4" customWidth="1"/>
    <col min="10" max="10" width="10" style="4" customWidth="1"/>
    <col min="11" max="11" width="1.7109375" style="4" customWidth="1"/>
    <col min="12" max="12" width="10" style="4" customWidth="1"/>
    <col min="13" max="13" width="3.140625" style="4" customWidth="1"/>
    <col min="14" max="14" width="1.85546875" style="4" customWidth="1"/>
    <col min="15" max="15" width="10.7109375" bestFit="1" customWidth="1"/>
  </cols>
  <sheetData>
    <row r="1" spans="1:12" x14ac:dyDescent="0.2">
      <c r="C1" s="15" t="s">
        <v>107</v>
      </c>
      <c r="D1" s="9"/>
      <c r="E1" s="72"/>
      <c r="F1" s="72"/>
      <c r="G1" s="9"/>
      <c r="H1" s="72"/>
      <c r="J1" s="9"/>
      <c r="L1" s="9"/>
    </row>
    <row r="2" spans="1:12" ht="16.5" thickBot="1" x14ac:dyDescent="0.25">
      <c r="B2" s="16"/>
      <c r="C2" s="17" t="s">
        <v>123</v>
      </c>
      <c r="D2" s="18"/>
      <c r="E2" s="73"/>
      <c r="F2" s="73"/>
      <c r="G2" s="18"/>
      <c r="H2" s="73"/>
      <c r="I2" s="9"/>
      <c r="J2" s="40"/>
      <c r="K2" s="9"/>
      <c r="L2" s="40"/>
    </row>
    <row r="3" spans="1:12" ht="13.5" thickTop="1" x14ac:dyDescent="0.2">
      <c r="B3" s="20"/>
      <c r="C3" s="20"/>
      <c r="D3" s="20"/>
      <c r="E3" s="74"/>
      <c r="F3" s="74"/>
      <c r="H3" s="74"/>
      <c r="I3" s="9"/>
      <c r="J3" s="9"/>
      <c r="K3" s="9"/>
      <c r="L3" s="9"/>
    </row>
    <row r="4" spans="1:12" x14ac:dyDescent="0.2">
      <c r="B4" s="2" t="s">
        <v>7</v>
      </c>
      <c r="E4" s="75" t="s">
        <v>8</v>
      </c>
      <c r="F4" s="90"/>
      <c r="G4" s="8"/>
      <c r="H4" s="112">
        <v>2021</v>
      </c>
      <c r="I4" s="9"/>
      <c r="J4" s="23">
        <v>2020</v>
      </c>
      <c r="K4" s="9"/>
      <c r="L4" s="23">
        <v>2019</v>
      </c>
    </row>
    <row r="5" spans="1:12" x14ac:dyDescent="0.2">
      <c r="C5" s="24" t="s">
        <v>6</v>
      </c>
      <c r="E5" s="76">
        <f>424148.65+1552.6+2514.8</f>
        <v>428216.05</v>
      </c>
      <c r="G5" s="8"/>
      <c r="H5" s="76">
        <f>480831.76+1417.32</f>
        <v>482249.08</v>
      </c>
      <c r="I5" s="72"/>
      <c r="J5" s="76">
        <f>445694.43+1163.89</f>
        <v>446858.32</v>
      </c>
      <c r="K5" s="72"/>
      <c r="L5" s="76">
        <f>475975.12+2087.12</f>
        <v>478062.24</v>
      </c>
    </row>
    <row r="6" spans="1:12" x14ac:dyDescent="0.2">
      <c r="C6" s="24" t="s">
        <v>5</v>
      </c>
      <c r="E6" s="76">
        <v>30283.51</v>
      </c>
      <c r="G6" s="8"/>
      <c r="H6" s="76">
        <v>32607.64</v>
      </c>
      <c r="I6" s="72"/>
      <c r="J6" s="76">
        <v>32649.8</v>
      </c>
      <c r="K6" s="72"/>
      <c r="L6" s="76">
        <v>46635.41</v>
      </c>
    </row>
    <row r="7" spans="1:12" x14ac:dyDescent="0.2">
      <c r="C7" s="24" t="s">
        <v>4</v>
      </c>
      <c r="E7" s="76">
        <v>114040.64</v>
      </c>
      <c r="G7" s="25"/>
      <c r="H7" s="76">
        <v>124394.16</v>
      </c>
      <c r="I7" s="72"/>
      <c r="J7" s="76">
        <v>60707.21</v>
      </c>
      <c r="K7" s="72"/>
      <c r="L7" s="76">
        <v>102279.52</v>
      </c>
    </row>
    <row r="8" spans="1:12" x14ac:dyDescent="0.2">
      <c r="C8" s="24" t="s">
        <v>63</v>
      </c>
      <c r="E8" s="76">
        <v>0.04</v>
      </c>
      <c r="G8" s="25"/>
      <c r="H8" s="76">
        <v>236.1</v>
      </c>
      <c r="I8" s="72"/>
      <c r="J8" s="76">
        <f>-0.8+0.24</f>
        <v>-0.56000000000000005</v>
      </c>
      <c r="K8" s="72"/>
      <c r="L8" s="76">
        <v>-0.86</v>
      </c>
    </row>
    <row r="9" spans="1:12" x14ac:dyDescent="0.2">
      <c r="C9" s="27" t="s">
        <v>109</v>
      </c>
      <c r="E9" s="76">
        <v>-218.16</v>
      </c>
      <c r="G9" s="8"/>
      <c r="H9" s="76">
        <f>-24.66-324.63</f>
        <v>-349.29</v>
      </c>
      <c r="I9" s="72"/>
      <c r="J9" s="76">
        <f>-159.65-135.95</f>
        <v>-295.60000000000002</v>
      </c>
      <c r="K9" s="72"/>
      <c r="L9" s="76">
        <v>-31.31</v>
      </c>
    </row>
    <row r="10" spans="1:12" ht="13.5" thickBot="1" x14ac:dyDescent="0.25">
      <c r="A10" s="12"/>
      <c r="B10" s="2" t="s">
        <v>9</v>
      </c>
      <c r="E10" s="77">
        <f>SUM(E5:E9)</f>
        <v>572322.07999999996</v>
      </c>
      <c r="F10" s="94"/>
      <c r="G10" s="25"/>
      <c r="H10" s="77">
        <f>SUM(H5:H9)</f>
        <v>639137.68999999994</v>
      </c>
      <c r="I10" s="72"/>
      <c r="J10" s="77">
        <f>J5+J6+J7+J9</f>
        <v>539919.73</v>
      </c>
      <c r="K10" s="72"/>
      <c r="L10" s="77">
        <f>L5+L6+L7+L9</f>
        <v>626945.86</v>
      </c>
    </row>
    <row r="11" spans="1:12" ht="13.5" thickTop="1" x14ac:dyDescent="0.2">
      <c r="A11" s="12"/>
      <c r="B11" s="2"/>
      <c r="E11" s="94"/>
      <c r="F11" s="94"/>
      <c r="G11" s="25"/>
      <c r="H11" s="94"/>
      <c r="I11" s="26"/>
      <c r="J11" s="94"/>
      <c r="K11" s="26"/>
      <c r="L11" s="94"/>
    </row>
    <row r="12" spans="1:12" ht="33.75" x14ac:dyDescent="0.2">
      <c r="B12" s="2" t="s">
        <v>10</v>
      </c>
      <c r="E12" s="79" t="s">
        <v>25</v>
      </c>
      <c r="F12" s="118" t="s">
        <v>33</v>
      </c>
      <c r="G12" s="8"/>
      <c r="H12" s="79" t="s">
        <v>25</v>
      </c>
      <c r="I12" s="9"/>
      <c r="J12" s="79" t="s">
        <v>25</v>
      </c>
      <c r="K12" s="9"/>
      <c r="L12" s="79" t="s">
        <v>25</v>
      </c>
    </row>
    <row r="13" spans="1:12" x14ac:dyDescent="0.2">
      <c r="C13" s="4" t="s">
        <v>3</v>
      </c>
      <c r="E13" s="76">
        <v>397138.34</v>
      </c>
      <c r="F13" s="97"/>
      <c r="G13" s="8"/>
      <c r="H13" s="76">
        <v>81497.11</v>
      </c>
      <c r="I13" s="72"/>
      <c r="J13" s="76">
        <v>218932.46</v>
      </c>
      <c r="K13" s="72"/>
      <c r="L13" s="76">
        <v>285304.33</v>
      </c>
    </row>
    <row r="14" spans="1:12" x14ac:dyDescent="0.2">
      <c r="C14" s="24" t="s">
        <v>11</v>
      </c>
      <c r="E14" s="76">
        <v>0</v>
      </c>
      <c r="F14" s="97"/>
      <c r="G14" s="8"/>
      <c r="H14" s="76">
        <v>6823.74</v>
      </c>
      <c r="I14" s="72"/>
      <c r="J14" s="76">
        <v>73452.42</v>
      </c>
      <c r="K14" s="72"/>
      <c r="L14" s="76">
        <v>50108.28</v>
      </c>
    </row>
    <row r="15" spans="1:12" x14ac:dyDescent="0.2">
      <c r="C15" s="24" t="s">
        <v>12</v>
      </c>
      <c r="E15" s="76">
        <v>84154.4</v>
      </c>
      <c r="F15" s="97">
        <v>73492.44</v>
      </c>
      <c r="G15" s="25"/>
      <c r="H15" s="76">
        <v>87619.59</v>
      </c>
      <c r="I15" s="72"/>
      <c r="J15" s="76">
        <v>47086.38</v>
      </c>
      <c r="K15" s="72"/>
      <c r="L15" s="76">
        <v>176761.72</v>
      </c>
    </row>
    <row r="16" spans="1:12" x14ac:dyDescent="0.2">
      <c r="C16" s="24" t="s">
        <v>121</v>
      </c>
      <c r="E16" s="76">
        <v>0</v>
      </c>
      <c r="F16" s="97"/>
      <c r="G16" s="25"/>
      <c r="H16" s="76">
        <v>32137.03</v>
      </c>
      <c r="I16" s="72"/>
      <c r="J16" s="76">
        <v>0</v>
      </c>
      <c r="K16" s="72"/>
      <c r="L16" s="76">
        <v>0</v>
      </c>
    </row>
    <row r="17" spans="2:12" x14ac:dyDescent="0.2">
      <c r="C17" s="24" t="s">
        <v>13</v>
      </c>
      <c r="E17" s="76">
        <v>0</v>
      </c>
      <c r="F17" s="97"/>
      <c r="G17" s="25"/>
      <c r="H17" s="76">
        <v>4133.3500000000004</v>
      </c>
      <c r="I17" s="72"/>
      <c r="J17" s="76">
        <v>7828.99</v>
      </c>
      <c r="K17" s="72"/>
      <c r="L17" s="76">
        <v>8415.4</v>
      </c>
    </row>
    <row r="18" spans="2:12" x14ac:dyDescent="0.2">
      <c r="C18" s="24" t="s">
        <v>14</v>
      </c>
      <c r="E18" s="76">
        <v>0</v>
      </c>
      <c r="F18" s="97"/>
      <c r="G18" s="25"/>
      <c r="H18" s="76">
        <v>0</v>
      </c>
      <c r="I18" s="72"/>
      <c r="J18" s="76">
        <v>73289.679999999993</v>
      </c>
      <c r="K18" s="72"/>
      <c r="L18" s="76">
        <v>0</v>
      </c>
    </row>
    <row r="19" spans="2:12" x14ac:dyDescent="0.2">
      <c r="C19" s="24" t="s">
        <v>15</v>
      </c>
      <c r="E19" s="76">
        <v>29745.75</v>
      </c>
      <c r="F19" s="97">
        <v>15218.61</v>
      </c>
      <c r="G19" s="25"/>
      <c r="H19" s="76">
        <v>0</v>
      </c>
      <c r="I19" s="72"/>
      <c r="J19" s="76">
        <v>10705.74</v>
      </c>
      <c r="K19" s="72"/>
      <c r="L19" s="76">
        <v>6941.85</v>
      </c>
    </row>
    <row r="20" spans="2:12" x14ac:dyDescent="0.2">
      <c r="C20" s="24" t="s">
        <v>16</v>
      </c>
      <c r="E20" s="76">
        <v>39193.74</v>
      </c>
      <c r="F20" s="97">
        <v>39943.589999999997</v>
      </c>
      <c r="G20" s="25"/>
      <c r="H20" s="76">
        <v>52740.62</v>
      </c>
      <c r="I20" s="72"/>
      <c r="J20" s="76">
        <v>1553</v>
      </c>
      <c r="K20" s="72"/>
      <c r="L20" s="76">
        <v>0</v>
      </c>
    </row>
    <row r="21" spans="2:12" x14ac:dyDescent="0.2">
      <c r="C21" s="24" t="s">
        <v>101</v>
      </c>
      <c r="E21" s="76">
        <v>0</v>
      </c>
      <c r="F21" s="97"/>
      <c r="G21" s="25"/>
      <c r="H21" s="76">
        <v>0</v>
      </c>
      <c r="I21" s="72"/>
      <c r="J21" s="76">
        <v>30294.32</v>
      </c>
      <c r="K21" s="72"/>
      <c r="L21" s="76">
        <v>0</v>
      </c>
    </row>
    <row r="22" spans="2:12" x14ac:dyDescent="0.2">
      <c r="C22" s="24" t="s">
        <v>17</v>
      </c>
      <c r="E22" s="76">
        <v>0</v>
      </c>
      <c r="F22" s="97"/>
      <c r="G22" s="25"/>
      <c r="H22" s="76">
        <v>0</v>
      </c>
      <c r="I22" s="72"/>
      <c r="J22" s="76">
        <v>0</v>
      </c>
      <c r="K22" s="72"/>
      <c r="L22" s="76">
        <v>26741.73</v>
      </c>
    </row>
    <row r="23" spans="2:12" x14ac:dyDescent="0.2">
      <c r="C23" s="24" t="s">
        <v>18</v>
      </c>
      <c r="E23" s="76">
        <v>4739.2700000000004</v>
      </c>
      <c r="F23" s="98">
        <v>4739.28</v>
      </c>
      <c r="G23" s="25"/>
      <c r="H23" s="76">
        <f>28611.12+5872.95</f>
        <v>34484.07</v>
      </c>
      <c r="I23" s="72"/>
      <c r="J23" s="76">
        <v>8547.82</v>
      </c>
      <c r="K23" s="72"/>
      <c r="L23" s="76">
        <v>11763.4</v>
      </c>
    </row>
    <row r="24" spans="2:12" x14ac:dyDescent="0.2">
      <c r="C24" s="24" t="s">
        <v>19</v>
      </c>
      <c r="E24" s="76">
        <v>48257.65</v>
      </c>
      <c r="F24" s="98">
        <v>48257.65</v>
      </c>
      <c r="G24" s="25"/>
      <c r="H24" s="76">
        <v>0</v>
      </c>
      <c r="I24" s="72"/>
      <c r="J24" s="76">
        <v>40611.97</v>
      </c>
      <c r="K24" s="72"/>
      <c r="L24" s="76">
        <v>30746.06</v>
      </c>
    </row>
    <row r="25" spans="2:12" x14ac:dyDescent="0.2">
      <c r="C25" s="24" t="s">
        <v>20</v>
      </c>
      <c r="E25" s="76">
        <v>0</v>
      </c>
      <c r="F25" s="98"/>
      <c r="G25" s="25"/>
      <c r="H25" s="76">
        <v>13911.84</v>
      </c>
      <c r="I25" s="72"/>
      <c r="J25" s="76">
        <v>0</v>
      </c>
      <c r="K25" s="72"/>
      <c r="L25" s="76">
        <v>0</v>
      </c>
    </row>
    <row r="26" spans="2:12" x14ac:dyDescent="0.2">
      <c r="C26" s="24" t="s">
        <v>21</v>
      </c>
      <c r="E26" s="76">
        <v>0</v>
      </c>
      <c r="F26" s="98"/>
      <c r="G26" s="25"/>
      <c r="H26" s="76">
        <v>55661.41</v>
      </c>
      <c r="I26" s="72"/>
      <c r="J26" s="76">
        <v>20615.41</v>
      </c>
      <c r="K26" s="72"/>
      <c r="L26" s="76">
        <v>26948.3</v>
      </c>
    </row>
    <row r="27" spans="2:12" x14ac:dyDescent="0.2">
      <c r="C27" s="24" t="s">
        <v>22</v>
      </c>
      <c r="E27" s="76">
        <v>107528.55</v>
      </c>
      <c r="F27" s="98">
        <v>24228.11</v>
      </c>
      <c r="G27" s="25"/>
      <c r="H27" s="76">
        <v>118750.57</v>
      </c>
      <c r="I27" s="72"/>
      <c r="J27" s="76">
        <v>123368.54</v>
      </c>
      <c r="K27" s="72"/>
      <c r="L27" s="76">
        <v>96364.49</v>
      </c>
    </row>
    <row r="28" spans="2:12" x14ac:dyDescent="0.2">
      <c r="C28" s="24" t="s">
        <v>26</v>
      </c>
      <c r="E28" s="76">
        <v>137220.46</v>
      </c>
      <c r="F28" s="98">
        <v>60813.78</v>
      </c>
      <c r="G28" s="8"/>
      <c r="H28" s="76">
        <v>101069.1</v>
      </c>
      <c r="I28" s="72"/>
      <c r="J28" s="76">
        <f>5682.92+14680+22232.75+6363.33+1398.87+13313+12719.75</f>
        <v>76390.62</v>
      </c>
      <c r="K28" s="72"/>
      <c r="L28" s="76">
        <f>2669.66+2650+36468.65+2036.69+8789+10451.14</f>
        <v>63065.14</v>
      </c>
    </row>
    <row r="29" spans="2:12" x14ac:dyDescent="0.2">
      <c r="C29" s="24" t="s">
        <v>120</v>
      </c>
      <c r="E29" s="76">
        <f>350+17148.24+1957.88</f>
        <v>19456.120000000003</v>
      </c>
      <c r="F29" s="98"/>
      <c r="G29" s="8"/>
      <c r="H29" s="76">
        <f>2352.81+9795.41</f>
        <v>12148.22</v>
      </c>
      <c r="I29" s="72"/>
      <c r="J29" s="76">
        <f>2025+50+50+165.98+100+50+256+100+4227.58+4758.62</f>
        <v>11783.18</v>
      </c>
      <c r="K29" s="72"/>
      <c r="L29" s="76">
        <f>50+100+50+256+256+50+6872.04+4076.69</f>
        <v>11710.73</v>
      </c>
    </row>
    <row r="30" spans="2:12" ht="25.5" x14ac:dyDescent="0.2">
      <c r="C30" s="5" t="s">
        <v>28</v>
      </c>
      <c r="E30" s="76">
        <f>1281+1527.08+2389.26</f>
        <v>5197.34</v>
      </c>
      <c r="F30" s="98"/>
      <c r="G30" s="8"/>
      <c r="H30" s="76">
        <f>1267+6121.8</f>
        <v>7388.8</v>
      </c>
      <c r="I30" s="72"/>
      <c r="J30" s="76">
        <f>358.1+3227.5+1217.9+1249</f>
        <v>6052.5</v>
      </c>
      <c r="K30" s="72"/>
      <c r="L30" s="76">
        <f>373.3+23.1+1792.5+1224</f>
        <v>3412.9</v>
      </c>
    </row>
    <row r="31" spans="2:12" x14ac:dyDescent="0.2">
      <c r="C31" s="24" t="s">
        <v>29</v>
      </c>
      <c r="E31" s="76">
        <v>0</v>
      </c>
      <c r="F31" s="99"/>
      <c r="G31" s="8"/>
      <c r="H31" s="76">
        <f>124.8+0</f>
        <v>124.8</v>
      </c>
      <c r="I31" s="72"/>
      <c r="J31" s="76">
        <v>249.6</v>
      </c>
      <c r="K31" s="72"/>
      <c r="L31" s="76">
        <v>247.6</v>
      </c>
    </row>
    <row r="32" spans="2:12" x14ac:dyDescent="0.2">
      <c r="B32" s="2" t="s">
        <v>30</v>
      </c>
      <c r="E32" s="80">
        <f>SUM(E13:E31)</f>
        <v>872631.62</v>
      </c>
      <c r="G32" s="25"/>
      <c r="H32" s="80">
        <f>SUM(H13:H31)</f>
        <v>608490.25000000012</v>
      </c>
      <c r="I32" s="94"/>
      <c r="J32" s="80">
        <f>SUM(J13:J31)</f>
        <v>750762.63000000012</v>
      </c>
      <c r="K32" s="94"/>
      <c r="L32" s="80">
        <f>SUM(L13:L31)</f>
        <v>798531.93</v>
      </c>
    </row>
    <row r="33" spans="1:15" x14ac:dyDescent="0.2">
      <c r="A33" s="63"/>
      <c r="B33" s="63"/>
      <c r="C33" s="24" t="s">
        <v>24</v>
      </c>
      <c r="D33" s="24"/>
      <c r="E33" s="81">
        <f>-F33</f>
        <v>-266693.45999999996</v>
      </c>
      <c r="F33" s="98">
        <f>SUM(F13:F31)</f>
        <v>266693.45999999996</v>
      </c>
      <c r="G33" s="64"/>
      <c r="H33" s="81">
        <v>-318336.48</v>
      </c>
      <c r="I33" s="81"/>
      <c r="J33" s="81">
        <v>-240920.75</v>
      </c>
      <c r="K33" s="81"/>
      <c r="L33" s="81">
        <v>-289685.02</v>
      </c>
      <c r="M33" s="63"/>
      <c r="N33" s="63"/>
      <c r="O33" s="108"/>
    </row>
    <row r="34" spans="1:15" x14ac:dyDescent="0.2">
      <c r="B34" s="2" t="s">
        <v>31</v>
      </c>
      <c r="E34" s="78">
        <f>E32+E33</f>
        <v>605938.16</v>
      </c>
      <c r="F34" s="100"/>
      <c r="G34" s="25"/>
      <c r="H34" s="78">
        <f>H32+H33</f>
        <v>290153.77000000014</v>
      </c>
      <c r="I34" s="94"/>
      <c r="J34" s="78">
        <f>J32+J33</f>
        <v>509841.88000000012</v>
      </c>
      <c r="K34" s="94"/>
      <c r="L34" s="78">
        <f>L32+L33</f>
        <v>508846.91000000003</v>
      </c>
    </row>
    <row r="35" spans="1:15" x14ac:dyDescent="0.2">
      <c r="F35" s="101"/>
      <c r="G35" s="8"/>
      <c r="I35" s="72"/>
      <c r="J35" s="76"/>
      <c r="K35" s="72"/>
      <c r="L35" s="76"/>
    </row>
    <row r="36" spans="1:15" x14ac:dyDescent="0.2">
      <c r="B36" s="2" t="s">
        <v>34</v>
      </c>
      <c r="E36" s="82">
        <v>-166856.92000000001</v>
      </c>
      <c r="F36" s="72"/>
      <c r="G36" s="25"/>
      <c r="H36" s="82">
        <v>151179.91</v>
      </c>
      <c r="I36" s="105"/>
      <c r="J36" s="82">
        <v>-133130.5</v>
      </c>
      <c r="K36" s="105"/>
      <c r="L36" s="82">
        <v>-86379.74</v>
      </c>
    </row>
    <row r="37" spans="1:15" x14ac:dyDescent="0.2">
      <c r="F37" s="72"/>
      <c r="G37" s="8"/>
      <c r="I37" s="72"/>
      <c r="J37" s="76"/>
      <c r="K37" s="72"/>
      <c r="L37" s="76"/>
    </row>
    <row r="38" spans="1:15" ht="13.5" thickBot="1" x14ac:dyDescent="0.25">
      <c r="B38" s="123" t="s">
        <v>36</v>
      </c>
      <c r="C38" s="123"/>
      <c r="E38" s="83">
        <f>E34+E36</f>
        <v>439081.24</v>
      </c>
      <c r="F38" s="72"/>
      <c r="G38" s="8"/>
      <c r="H38" s="83">
        <f>H34+H36</f>
        <v>441333.68000000017</v>
      </c>
      <c r="I38" s="105"/>
      <c r="J38" s="83">
        <f>J34+J36</f>
        <v>376711.38000000012</v>
      </c>
      <c r="K38" s="105"/>
      <c r="L38" s="83">
        <f>L34+L36</f>
        <v>422467.17000000004</v>
      </c>
    </row>
    <row r="39" spans="1:15" ht="13.5" thickTop="1" x14ac:dyDescent="0.2">
      <c r="F39" s="72"/>
      <c r="G39" s="8"/>
      <c r="I39" s="72"/>
      <c r="J39" s="76"/>
      <c r="K39" s="72"/>
      <c r="L39" s="76"/>
    </row>
    <row r="40" spans="1:15" x14ac:dyDescent="0.2">
      <c r="B40" s="2" t="s">
        <v>35</v>
      </c>
      <c r="E40" s="84">
        <f>E10-E38</f>
        <v>133240.83999999997</v>
      </c>
      <c r="F40" s="72"/>
      <c r="G40" s="8"/>
      <c r="H40" s="84">
        <f>H10-H38</f>
        <v>197804.00999999978</v>
      </c>
      <c r="I40" s="94"/>
      <c r="J40" s="84">
        <f>J10-J38</f>
        <v>163208.34999999986</v>
      </c>
      <c r="K40" s="94"/>
      <c r="L40" s="84">
        <f>L10-L38</f>
        <v>204478.68999999994</v>
      </c>
    </row>
    <row r="41" spans="1:15" x14ac:dyDescent="0.2">
      <c r="A41" s="58"/>
      <c r="B41" s="58"/>
      <c r="C41" s="58"/>
      <c r="D41" s="58"/>
      <c r="E41" s="59">
        <f>E40/E10</f>
        <v>0.23280744296987455</v>
      </c>
      <c r="F41" s="102"/>
      <c r="G41" s="61"/>
      <c r="H41" s="59">
        <f>H40/H10</f>
        <v>0.30948575415729246</v>
      </c>
      <c r="I41" s="62"/>
      <c r="J41" s="59">
        <f>J40/J10</f>
        <v>0.30228261893670727</v>
      </c>
      <c r="K41" s="62"/>
      <c r="L41" s="59">
        <f>L40/L10</f>
        <v>0.32615047493893645</v>
      </c>
      <c r="M41" s="58"/>
      <c r="N41" s="58"/>
    </row>
    <row r="42" spans="1:15" x14ac:dyDescent="0.2">
      <c r="F42" s="72"/>
      <c r="G42" s="8"/>
      <c r="I42" s="9"/>
      <c r="J42" s="76"/>
      <c r="K42" s="9"/>
      <c r="L42" s="76"/>
    </row>
    <row r="43" spans="1:15" x14ac:dyDescent="0.2">
      <c r="B43" s="2" t="s">
        <v>37</v>
      </c>
      <c r="F43" s="72"/>
      <c r="G43" s="8"/>
      <c r="I43" s="9"/>
      <c r="J43" s="76"/>
      <c r="K43" s="9"/>
      <c r="L43" s="76"/>
    </row>
    <row r="44" spans="1:15" x14ac:dyDescent="0.2">
      <c r="C44" s="24" t="s">
        <v>38</v>
      </c>
      <c r="E44" s="76">
        <f>18555.58+18233.89</f>
        <v>36789.47</v>
      </c>
      <c r="F44" s="72"/>
      <c r="G44" s="8"/>
      <c r="H44" s="76">
        <f>22136.74+14520.66</f>
        <v>36657.4</v>
      </c>
      <c r="I44" s="72"/>
      <c r="J44" s="76">
        <f>75+20756.66+6623.78</f>
        <v>27455.439999999999</v>
      </c>
      <c r="K44" s="72"/>
      <c r="L44" s="76">
        <f>24860.11+11695.41</f>
        <v>36555.520000000004</v>
      </c>
    </row>
    <row r="45" spans="1:15" x14ac:dyDescent="0.2">
      <c r="C45" s="24" t="s">
        <v>39</v>
      </c>
      <c r="E45" s="76">
        <v>0</v>
      </c>
      <c r="F45" s="72"/>
      <c r="G45" s="8"/>
      <c r="H45" s="76">
        <v>119</v>
      </c>
      <c r="I45" s="72"/>
      <c r="J45" s="76">
        <v>0</v>
      </c>
      <c r="K45" s="72"/>
      <c r="L45" s="76">
        <v>0</v>
      </c>
    </row>
    <row r="46" spans="1:15" x14ac:dyDescent="0.2">
      <c r="C46" s="24" t="s">
        <v>40</v>
      </c>
      <c r="E46" s="76">
        <v>854</v>
      </c>
      <c r="F46" s="72"/>
      <c r="G46" s="8"/>
      <c r="H46" s="76">
        <v>287.8</v>
      </c>
      <c r="I46" s="72"/>
      <c r="J46" s="76">
        <v>3028</v>
      </c>
      <c r="K46" s="72"/>
      <c r="L46" s="76">
        <v>1055.4000000000001</v>
      </c>
    </row>
    <row r="47" spans="1:15" x14ac:dyDescent="0.2">
      <c r="B47" s="123" t="s">
        <v>41</v>
      </c>
      <c r="C47" s="124"/>
      <c r="E47" s="84">
        <f>SUM(E44:E46)</f>
        <v>37643.47</v>
      </c>
      <c r="F47" s="72"/>
      <c r="G47" s="8"/>
      <c r="H47" s="84">
        <f>SUM(H44:H46)</f>
        <v>37064.200000000004</v>
      </c>
      <c r="I47" s="94"/>
      <c r="J47" s="84">
        <f>SUM(J44:J46)</f>
        <v>30483.439999999999</v>
      </c>
      <c r="K47" s="94"/>
      <c r="L47" s="84">
        <f>SUM(L44:L46)</f>
        <v>37610.920000000006</v>
      </c>
    </row>
    <row r="48" spans="1:15" x14ac:dyDescent="0.2">
      <c r="F48" s="72"/>
      <c r="G48" s="8"/>
      <c r="I48" s="72"/>
      <c r="J48" s="76"/>
      <c r="K48" s="72"/>
      <c r="L48" s="76"/>
    </row>
    <row r="49" spans="1:15" ht="13.5" thickBot="1" x14ac:dyDescent="0.25">
      <c r="B49" s="2" t="s">
        <v>42</v>
      </c>
      <c r="E49" s="85">
        <f>E40-E47</f>
        <v>95597.369999999966</v>
      </c>
      <c r="F49" s="72"/>
      <c r="G49" s="8"/>
      <c r="H49" s="85">
        <f>H40-H47</f>
        <v>160739.80999999976</v>
      </c>
      <c r="I49" s="89"/>
      <c r="J49" s="85">
        <f>J40-J47</f>
        <v>132724.90999999986</v>
      </c>
      <c r="K49" s="89"/>
      <c r="L49" s="85">
        <f>L40-L47</f>
        <v>166867.76999999993</v>
      </c>
    </row>
    <row r="50" spans="1:15" ht="13.5" thickTop="1" x14ac:dyDescent="0.2">
      <c r="A50" s="58"/>
      <c r="B50" s="58"/>
      <c r="C50" s="58"/>
      <c r="D50" s="58"/>
      <c r="E50" s="59">
        <f>E49/E10</f>
        <v>0.16703421611830871</v>
      </c>
      <c r="F50" s="102"/>
      <c r="G50" s="61"/>
      <c r="H50" s="59">
        <f>H49/H10</f>
        <v>0.25149480701098975</v>
      </c>
      <c r="I50" s="62"/>
      <c r="J50" s="59">
        <f>J49/J10</f>
        <v>0.24582341156527077</v>
      </c>
      <c r="K50" s="62"/>
      <c r="L50" s="59">
        <f>L49/L10</f>
        <v>0.2661597765395563</v>
      </c>
      <c r="M50" s="58"/>
      <c r="N50" s="58"/>
    </row>
    <row r="51" spans="1:15" x14ac:dyDescent="0.2">
      <c r="A51" s="58"/>
      <c r="B51" s="58"/>
      <c r="C51" s="58"/>
      <c r="D51" s="58"/>
      <c r="E51" s="59"/>
      <c r="F51" s="102"/>
      <c r="G51" s="61"/>
      <c r="H51" s="59"/>
      <c r="I51" s="62"/>
      <c r="J51" s="59"/>
      <c r="K51" s="62"/>
      <c r="L51" s="59"/>
      <c r="M51" s="58"/>
      <c r="N51" s="58"/>
    </row>
    <row r="52" spans="1:15" x14ac:dyDescent="0.2">
      <c r="A52" s="58"/>
      <c r="B52" s="109" t="s">
        <v>110</v>
      </c>
      <c r="C52" s="58"/>
      <c r="D52" s="58"/>
      <c r="E52" s="59"/>
      <c r="F52" s="102"/>
      <c r="G52" s="61"/>
      <c r="H52" s="59"/>
      <c r="I52" s="62"/>
      <c r="J52" s="59"/>
      <c r="K52" s="62"/>
      <c r="L52" s="59"/>
      <c r="M52" s="58"/>
      <c r="N52" s="58"/>
    </row>
    <row r="53" spans="1:15" x14ac:dyDescent="0.2">
      <c r="A53" s="58"/>
      <c r="B53" s="109"/>
      <c r="C53" s="58" t="s">
        <v>124</v>
      </c>
      <c r="D53" s="58"/>
      <c r="E53" s="113">
        <v>1663.33</v>
      </c>
      <c r="F53" s="102"/>
      <c r="G53" s="114"/>
      <c r="H53" s="113">
        <v>0</v>
      </c>
      <c r="I53" s="115"/>
      <c r="J53" s="113">
        <v>0</v>
      </c>
      <c r="K53" s="115"/>
      <c r="L53" s="113">
        <v>0</v>
      </c>
      <c r="M53" s="58"/>
      <c r="N53" s="58"/>
    </row>
    <row r="54" spans="1:15" x14ac:dyDescent="0.2">
      <c r="C54" s="24" t="s">
        <v>53</v>
      </c>
      <c r="E54" s="76">
        <f>55+1229.6</f>
        <v>1284.5999999999999</v>
      </c>
      <c r="F54" s="72"/>
      <c r="G54" s="8"/>
      <c r="H54" s="76">
        <f>80+876.8</f>
        <v>956.8</v>
      </c>
      <c r="I54" s="72"/>
      <c r="J54" s="76">
        <v>876.8</v>
      </c>
      <c r="K54" s="72"/>
      <c r="L54" s="76">
        <v>624.32000000000005</v>
      </c>
    </row>
    <row r="55" spans="1:15" ht="13.5" thickBot="1" x14ac:dyDescent="0.25">
      <c r="A55" s="58"/>
      <c r="B55" s="109" t="s">
        <v>111</v>
      </c>
      <c r="C55" s="58"/>
      <c r="D55" s="58"/>
      <c r="E55" s="110">
        <f>SUM(E53:E54)</f>
        <v>2947.93</v>
      </c>
      <c r="F55" s="102"/>
      <c r="G55" s="61"/>
      <c r="H55" s="110">
        <f>SUM(H53:H54)</f>
        <v>956.8</v>
      </c>
      <c r="I55" s="62"/>
      <c r="J55" s="110">
        <f>SUM(J53:J54)</f>
        <v>876.8</v>
      </c>
      <c r="K55" s="62"/>
      <c r="L55" s="110">
        <f>SUM(L53:L54)</f>
        <v>624.32000000000005</v>
      </c>
      <c r="M55" s="58"/>
      <c r="N55" s="58"/>
      <c r="O55" s="1"/>
    </row>
    <row r="56" spans="1:15" ht="13.5" thickTop="1" x14ac:dyDescent="0.2">
      <c r="F56" s="72"/>
      <c r="G56" s="8"/>
      <c r="I56" s="9"/>
      <c r="J56" s="76"/>
      <c r="K56" s="9"/>
      <c r="L56" s="76"/>
    </row>
    <row r="57" spans="1:15" x14ac:dyDescent="0.2">
      <c r="B57" s="2" t="s">
        <v>43</v>
      </c>
      <c r="F57" s="72"/>
      <c r="G57" s="8"/>
      <c r="I57" s="9"/>
      <c r="J57" s="76"/>
      <c r="K57" s="9"/>
      <c r="L57" s="76"/>
    </row>
    <row r="58" spans="1:15" ht="25.5" x14ac:dyDescent="0.2">
      <c r="C58" s="5" t="s">
        <v>44</v>
      </c>
      <c r="E58" s="76">
        <v>6684</v>
      </c>
      <c r="F58" s="72"/>
      <c r="G58" s="8"/>
      <c r="H58" s="76">
        <v>10931</v>
      </c>
      <c r="I58" s="72"/>
      <c r="J58" s="76">
        <v>0</v>
      </c>
      <c r="K58" s="72"/>
      <c r="L58" s="76">
        <v>5811</v>
      </c>
    </row>
    <row r="59" spans="1:15" x14ac:dyDescent="0.2">
      <c r="C59" s="24" t="s">
        <v>40</v>
      </c>
      <c r="E59" s="76">
        <v>257</v>
      </c>
      <c r="F59" s="72"/>
      <c r="G59" s="8"/>
      <c r="H59" s="76">
        <v>2340</v>
      </c>
      <c r="I59" s="72"/>
      <c r="J59" s="76">
        <f>600.1+395.69</f>
        <v>995.79</v>
      </c>
      <c r="K59" s="72"/>
      <c r="L59" s="76">
        <v>0.14000000000000001</v>
      </c>
    </row>
    <row r="60" spans="1:15" x14ac:dyDescent="0.2">
      <c r="B60" s="123" t="s">
        <v>46</v>
      </c>
      <c r="C60" s="124"/>
      <c r="E60" s="84">
        <f>SUM(E58:E59)</f>
        <v>6941</v>
      </c>
      <c r="F60" s="72"/>
      <c r="G60" s="8"/>
      <c r="H60" s="84">
        <f>SUM(H58:H59)</f>
        <v>13271</v>
      </c>
      <c r="I60" s="94"/>
      <c r="J60" s="84">
        <f>SUM(J58:J59)</f>
        <v>995.79</v>
      </c>
      <c r="K60" s="94"/>
      <c r="L60" s="84">
        <f>SUM(L58:L59)</f>
        <v>5811.14</v>
      </c>
      <c r="O60" s="1"/>
    </row>
    <row r="61" spans="1:15" x14ac:dyDescent="0.2">
      <c r="E61" s="74"/>
      <c r="F61" s="72"/>
      <c r="G61" s="8"/>
      <c r="H61" s="74"/>
      <c r="I61" s="94"/>
      <c r="J61" s="74"/>
      <c r="K61" s="94"/>
      <c r="L61" s="74"/>
    </row>
    <row r="62" spans="1:15" x14ac:dyDescent="0.2">
      <c r="B62" s="123" t="s">
        <v>60</v>
      </c>
      <c r="C62" s="124"/>
      <c r="F62" s="72"/>
      <c r="G62" s="8"/>
      <c r="I62" s="72"/>
      <c r="J62" s="76"/>
      <c r="K62" s="72"/>
      <c r="L62" s="76"/>
    </row>
    <row r="63" spans="1:15" x14ac:dyDescent="0.2">
      <c r="C63" s="24" t="s">
        <v>48</v>
      </c>
      <c r="E63" s="76">
        <f>37510+4688.77+1646.44+132.6</f>
        <v>43977.810000000005</v>
      </c>
      <c r="F63" s="72"/>
      <c r="G63" s="8"/>
      <c r="H63" s="76">
        <f>34750+4343.8+1447+51.32</f>
        <v>40592.120000000003</v>
      </c>
      <c r="I63" s="72"/>
      <c r="J63" s="76">
        <f>38738+4842.28</f>
        <v>43580.28</v>
      </c>
      <c r="K63" s="72"/>
      <c r="L63" s="76">
        <f>36458+4557.28+1188</f>
        <v>42203.28</v>
      </c>
    </row>
    <row r="64" spans="1:15" x14ac:dyDescent="0.2">
      <c r="C64" s="24" t="s">
        <v>102</v>
      </c>
      <c r="E64" s="76">
        <v>1749</v>
      </c>
      <c r="F64" s="72"/>
      <c r="G64" s="8"/>
      <c r="H64" s="76">
        <v>1657</v>
      </c>
      <c r="I64" s="72"/>
      <c r="J64" s="76">
        <f>1584.75+1264+81.28</f>
        <v>2930.03</v>
      </c>
      <c r="K64" s="72"/>
      <c r="L64" s="76">
        <v>1548</v>
      </c>
    </row>
    <row r="65" spans="2:15" x14ac:dyDescent="0.2">
      <c r="C65" s="24" t="s">
        <v>50</v>
      </c>
      <c r="E65" s="76">
        <v>3628.98</v>
      </c>
      <c r="F65" s="72"/>
      <c r="G65" s="8"/>
      <c r="H65" s="76">
        <v>3628.8</v>
      </c>
      <c r="I65" s="72"/>
      <c r="J65" s="76">
        <v>3628.8</v>
      </c>
      <c r="K65" s="72"/>
      <c r="L65" s="76">
        <v>3628.8</v>
      </c>
      <c r="O65" s="1"/>
    </row>
    <row r="66" spans="2:15" x14ac:dyDescent="0.2">
      <c r="C66" s="24" t="s">
        <v>51</v>
      </c>
      <c r="E66" s="76">
        <v>346.4</v>
      </c>
      <c r="F66" s="72"/>
      <c r="G66" s="8"/>
      <c r="H66" s="76">
        <v>353.2</v>
      </c>
      <c r="I66" s="72"/>
      <c r="J66" s="76">
        <v>112</v>
      </c>
      <c r="K66" s="72"/>
      <c r="L66" s="76">
        <v>144</v>
      </c>
      <c r="O66" s="1"/>
    </row>
    <row r="67" spans="2:15" x14ac:dyDescent="0.2">
      <c r="C67" s="24" t="s">
        <v>52</v>
      </c>
      <c r="E67" s="76">
        <v>5843.14</v>
      </c>
      <c r="F67" s="72"/>
      <c r="G67" s="8"/>
      <c r="H67" s="76">
        <v>5783.05</v>
      </c>
      <c r="I67" s="72"/>
      <c r="J67" s="76">
        <v>6505.22</v>
      </c>
      <c r="K67" s="72"/>
      <c r="L67" s="76">
        <v>5939.79</v>
      </c>
      <c r="O67" s="1"/>
    </row>
    <row r="68" spans="2:15" x14ac:dyDescent="0.2">
      <c r="C68" s="24" t="s">
        <v>54</v>
      </c>
      <c r="E68" s="76">
        <v>1585.8</v>
      </c>
      <c r="F68" s="72"/>
      <c r="G68" s="8"/>
      <c r="H68" s="76">
        <v>3116.4</v>
      </c>
      <c r="I68" s="72"/>
      <c r="J68" s="76">
        <f>2522+845.6</f>
        <v>3367.6</v>
      </c>
      <c r="K68" s="72"/>
      <c r="L68" s="76">
        <v>2390.1999999999998</v>
      </c>
      <c r="O68" s="1"/>
    </row>
    <row r="69" spans="2:15" ht="25.5" x14ac:dyDescent="0.2">
      <c r="C69" s="5" t="s">
        <v>55</v>
      </c>
      <c r="E69" s="76">
        <v>49.2</v>
      </c>
      <c r="F69" s="72"/>
      <c r="G69" s="8"/>
      <c r="H69" s="76">
        <v>1325.6</v>
      </c>
      <c r="I69" s="72"/>
      <c r="J69" s="76">
        <v>1718.4</v>
      </c>
      <c r="K69" s="72"/>
      <c r="L69" s="76">
        <v>684.59</v>
      </c>
      <c r="O69" s="1"/>
    </row>
    <row r="70" spans="2:15" x14ac:dyDescent="0.2">
      <c r="C70" s="24" t="s">
        <v>56</v>
      </c>
      <c r="E70" s="76">
        <v>100</v>
      </c>
      <c r="F70" s="72"/>
      <c r="G70" s="8"/>
      <c r="H70" s="76">
        <v>100</v>
      </c>
      <c r="I70" s="72"/>
      <c r="J70" s="76">
        <f>185.6+128.5</f>
        <v>314.10000000000002</v>
      </c>
      <c r="K70" s="72"/>
      <c r="L70" s="76">
        <v>141.25</v>
      </c>
      <c r="O70" s="1"/>
    </row>
    <row r="71" spans="2:15" x14ac:dyDescent="0.2">
      <c r="C71" s="24" t="s">
        <v>91</v>
      </c>
      <c r="E71" s="76">
        <v>5078.8599999999997</v>
      </c>
      <c r="F71" s="72"/>
      <c r="G71" s="8"/>
      <c r="H71" s="76">
        <v>6236.19</v>
      </c>
      <c r="I71" s="72"/>
      <c r="J71" s="76">
        <v>6464.22</v>
      </c>
      <c r="K71" s="72"/>
      <c r="L71" s="76">
        <v>6177.91</v>
      </c>
      <c r="O71" s="1"/>
    </row>
    <row r="72" spans="2:15" x14ac:dyDescent="0.2">
      <c r="C72" s="24" t="s">
        <v>57</v>
      </c>
      <c r="E72" s="76">
        <v>729.2</v>
      </c>
      <c r="F72" s="72"/>
      <c r="G72" s="8"/>
      <c r="H72" s="76">
        <v>923</v>
      </c>
      <c r="I72" s="72"/>
      <c r="J72" s="76">
        <v>994</v>
      </c>
      <c r="K72" s="72"/>
      <c r="L72" s="76">
        <v>1065</v>
      </c>
      <c r="O72" s="1"/>
    </row>
    <row r="73" spans="2:15" x14ac:dyDescent="0.2">
      <c r="C73" s="24" t="s">
        <v>74</v>
      </c>
      <c r="E73" s="76">
        <v>0</v>
      </c>
      <c r="F73" s="72"/>
      <c r="G73" s="25"/>
      <c r="H73" s="76">
        <v>0</v>
      </c>
      <c r="I73" s="72"/>
      <c r="J73" s="76">
        <v>0</v>
      </c>
      <c r="K73" s="72"/>
      <c r="L73" s="76">
        <v>20000</v>
      </c>
      <c r="O73" s="1"/>
    </row>
    <row r="74" spans="2:15" x14ac:dyDescent="0.2">
      <c r="C74" s="24" t="s">
        <v>126</v>
      </c>
      <c r="E74" s="76">
        <v>19700</v>
      </c>
      <c r="F74" s="72"/>
      <c r="G74" s="25"/>
      <c r="H74" s="76">
        <v>0</v>
      </c>
      <c r="I74" s="72"/>
      <c r="J74" s="76">
        <v>0</v>
      </c>
      <c r="K74" s="72"/>
      <c r="L74" s="76">
        <v>0</v>
      </c>
      <c r="O74" s="1"/>
    </row>
    <row r="75" spans="2:15" x14ac:dyDescent="0.2">
      <c r="C75" s="24" t="s">
        <v>40</v>
      </c>
      <c r="E75" s="76">
        <f>161.6+235.2</f>
        <v>396.79999999999995</v>
      </c>
      <c r="F75" s="72"/>
      <c r="G75" s="8"/>
      <c r="H75" s="76">
        <v>71.2</v>
      </c>
      <c r="I75" s="72"/>
      <c r="J75" s="76">
        <v>0</v>
      </c>
      <c r="K75" s="72"/>
      <c r="L75" s="76">
        <v>0</v>
      </c>
    </row>
    <row r="76" spans="2:15" x14ac:dyDescent="0.2">
      <c r="B76" s="123" t="s">
        <v>59</v>
      </c>
      <c r="C76" s="124"/>
      <c r="E76" s="84">
        <f>SUM(E63:E75)</f>
        <v>83185.190000000017</v>
      </c>
      <c r="F76" s="72"/>
      <c r="G76" s="25"/>
      <c r="H76" s="84">
        <f>SUM(H63:H75)</f>
        <v>63786.560000000005</v>
      </c>
      <c r="I76" s="94"/>
      <c r="J76" s="84">
        <f>SUM(J63:J75)</f>
        <v>69614.649999999994</v>
      </c>
      <c r="K76" s="94"/>
      <c r="L76" s="84">
        <f>SUM(L63:L75)</f>
        <v>83922.819999999992</v>
      </c>
      <c r="O76" s="1"/>
    </row>
    <row r="77" spans="2:15" x14ac:dyDescent="0.2">
      <c r="F77" s="72"/>
      <c r="G77" s="8"/>
      <c r="I77" s="72"/>
      <c r="J77" s="76"/>
      <c r="K77" s="72"/>
      <c r="L77" s="76"/>
    </row>
    <row r="78" spans="2:15" ht="13.5" thickBot="1" x14ac:dyDescent="0.25">
      <c r="B78" s="2" t="s">
        <v>61</v>
      </c>
      <c r="E78" s="77">
        <f>E49-E55+E60-E76</f>
        <v>16405.249999999956</v>
      </c>
      <c r="F78" s="72"/>
      <c r="G78" s="25"/>
      <c r="H78" s="77">
        <f>H49-H55+H60-H76</f>
        <v>109267.44999999978</v>
      </c>
      <c r="I78" s="94"/>
      <c r="J78" s="77">
        <f>J49-J55+J60-J76</f>
        <v>63229.249999999884</v>
      </c>
      <c r="K78" s="94"/>
      <c r="L78" s="77">
        <f>L49-L55+L60-L76</f>
        <v>88131.769999999946</v>
      </c>
      <c r="O78" s="1"/>
    </row>
    <row r="79" spans="2:15" ht="13.5" thickTop="1" x14ac:dyDescent="0.2">
      <c r="E79" s="86"/>
      <c r="F79" s="72"/>
      <c r="G79" s="8"/>
      <c r="H79" s="86"/>
      <c r="I79" s="105"/>
      <c r="J79" s="86"/>
      <c r="K79" s="105"/>
      <c r="L79" s="86"/>
    </row>
    <row r="80" spans="2:15" x14ac:dyDescent="0.2">
      <c r="B80" s="123" t="s">
        <v>112</v>
      </c>
      <c r="C80" s="124"/>
      <c r="F80" s="72"/>
      <c r="G80" s="8"/>
      <c r="I80" s="72"/>
      <c r="J80" s="76"/>
      <c r="K80" s="72"/>
      <c r="L80" s="76"/>
    </row>
    <row r="81" spans="1:15" x14ac:dyDescent="0.2">
      <c r="C81" s="24" t="s">
        <v>125</v>
      </c>
      <c r="E81" s="76">
        <f>5350+7552.47</f>
        <v>12902.470000000001</v>
      </c>
      <c r="F81" s="72"/>
      <c r="G81" s="25"/>
      <c r="H81" s="76">
        <v>14553</v>
      </c>
      <c r="I81" s="72"/>
      <c r="J81" s="76">
        <v>0</v>
      </c>
      <c r="K81" s="72"/>
      <c r="L81" s="76">
        <v>4650</v>
      </c>
      <c r="O81" s="1"/>
    </row>
    <row r="82" spans="1:15" x14ac:dyDescent="0.2">
      <c r="C82" s="24" t="s">
        <v>103</v>
      </c>
      <c r="E82" s="76">
        <v>0</v>
      </c>
      <c r="F82" s="72"/>
      <c r="G82" s="25"/>
      <c r="H82" s="76">
        <v>0</v>
      </c>
      <c r="I82" s="72"/>
      <c r="J82" s="76">
        <v>4544.05</v>
      </c>
      <c r="K82" s="72"/>
      <c r="L82" s="76">
        <v>0</v>
      </c>
      <c r="O82" s="1"/>
    </row>
    <row r="83" spans="1:15" x14ac:dyDescent="0.2">
      <c r="C83" s="24" t="s">
        <v>114</v>
      </c>
      <c r="E83" s="76">
        <v>27.65</v>
      </c>
      <c r="F83" s="72"/>
      <c r="G83" s="25"/>
      <c r="H83" s="76">
        <v>0.45</v>
      </c>
      <c r="I83" s="72"/>
      <c r="J83" s="76">
        <v>5.79</v>
      </c>
      <c r="K83" s="72"/>
      <c r="L83" s="76">
        <v>0</v>
      </c>
      <c r="O83" s="1"/>
    </row>
    <row r="84" spans="1:15" x14ac:dyDescent="0.2">
      <c r="C84" s="24" t="s">
        <v>58</v>
      </c>
      <c r="E84" s="76">
        <v>2407.5</v>
      </c>
      <c r="F84" s="72"/>
      <c r="G84" s="8"/>
      <c r="H84" s="76">
        <v>2567.5</v>
      </c>
      <c r="I84" s="72"/>
      <c r="J84" s="76">
        <v>900</v>
      </c>
      <c r="K84" s="72"/>
      <c r="L84" s="76">
        <v>1550</v>
      </c>
      <c r="O84" s="1"/>
    </row>
    <row r="85" spans="1:15" ht="13.5" thickBot="1" x14ac:dyDescent="0.25">
      <c r="B85" s="123" t="s">
        <v>113</v>
      </c>
      <c r="C85" s="124"/>
      <c r="E85" s="77">
        <f>SUM(E81:E84)</f>
        <v>15337.62</v>
      </c>
      <c r="F85" s="72"/>
      <c r="G85" s="25"/>
      <c r="H85" s="77">
        <f>SUM(H81:H84)</f>
        <v>17120.95</v>
      </c>
      <c r="I85" s="94"/>
      <c r="J85" s="77">
        <f>SUM(J81:J84)</f>
        <v>5449.84</v>
      </c>
      <c r="K85" s="94"/>
      <c r="L85" s="77">
        <f>SUM(L81:L84)</f>
        <v>6200</v>
      </c>
    </row>
    <row r="86" spans="1:15" ht="13.5" thickTop="1" x14ac:dyDescent="0.2">
      <c r="E86" s="74"/>
      <c r="F86" s="72"/>
      <c r="G86" s="8"/>
      <c r="H86" s="74"/>
      <c r="I86" s="94"/>
      <c r="J86" s="74"/>
      <c r="K86" s="94"/>
      <c r="L86" s="74"/>
    </row>
    <row r="87" spans="1:15" ht="13.5" thickBot="1" x14ac:dyDescent="0.25">
      <c r="A87" s="9"/>
      <c r="B87" s="44" t="s">
        <v>67</v>
      </c>
      <c r="D87" s="9"/>
      <c r="E87" s="87">
        <f>E78-E85</f>
        <v>1067.6299999999555</v>
      </c>
      <c r="F87" s="72"/>
      <c r="G87" s="25"/>
      <c r="H87" s="87">
        <f>H78-H85</f>
        <v>92146.499999999782</v>
      </c>
      <c r="I87" s="94"/>
      <c r="J87" s="87">
        <f>J78-J85</f>
        <v>57779.409999999887</v>
      </c>
      <c r="K87" s="94"/>
      <c r="L87" s="87">
        <f>L78-L85</f>
        <v>81931.769999999946</v>
      </c>
      <c r="O87" s="1"/>
    </row>
    <row r="88" spans="1:15" ht="13.5" thickTop="1" x14ac:dyDescent="0.2">
      <c r="B88" s="46"/>
      <c r="C88" s="46"/>
      <c r="D88" s="46"/>
      <c r="E88" s="88"/>
      <c r="F88" s="103"/>
      <c r="G88" s="48"/>
      <c r="H88" s="88"/>
      <c r="I88" s="78"/>
      <c r="J88" s="88"/>
      <c r="K88" s="78"/>
      <c r="L88" s="88"/>
    </row>
    <row r="89" spans="1:15" x14ac:dyDescent="0.2">
      <c r="F89" s="72"/>
      <c r="G89" s="67"/>
      <c r="I89" s="72"/>
      <c r="J89" s="76"/>
      <c r="K89" s="72"/>
      <c r="L89" s="76"/>
    </row>
    <row r="90" spans="1:15" ht="15.75" x14ac:dyDescent="0.2">
      <c r="B90" s="16"/>
      <c r="C90" s="66" t="s">
        <v>90</v>
      </c>
      <c r="D90" s="40"/>
      <c r="E90" s="89"/>
      <c r="F90" s="89"/>
      <c r="G90" s="65"/>
      <c r="H90" s="89"/>
      <c r="I90" s="72"/>
      <c r="J90" s="89"/>
      <c r="K90" s="72"/>
      <c r="L90" s="89"/>
    </row>
    <row r="91" spans="1:15" ht="15.75" x14ac:dyDescent="0.2">
      <c r="B91" s="16"/>
      <c r="C91" s="66"/>
      <c r="D91" s="40"/>
      <c r="E91" s="89"/>
      <c r="F91" s="89"/>
      <c r="G91" s="65"/>
      <c r="H91" s="89"/>
      <c r="I91" s="72"/>
      <c r="J91" s="89"/>
      <c r="K91" s="72"/>
      <c r="L91" s="89"/>
    </row>
    <row r="92" spans="1:15" x14ac:dyDescent="0.2">
      <c r="B92" s="2" t="s">
        <v>68</v>
      </c>
      <c r="E92" s="90" t="s">
        <v>0</v>
      </c>
      <c r="F92" s="104"/>
      <c r="G92" s="52"/>
      <c r="H92" s="90" t="s">
        <v>0</v>
      </c>
      <c r="I92" s="104"/>
      <c r="J92" s="90" t="s">
        <v>0</v>
      </c>
      <c r="K92" s="104"/>
      <c r="L92" s="90" t="s">
        <v>0</v>
      </c>
    </row>
    <row r="93" spans="1:15" x14ac:dyDescent="0.2">
      <c r="C93" s="24" t="s">
        <v>69</v>
      </c>
      <c r="E93" s="76">
        <v>1629</v>
      </c>
      <c r="F93" s="72"/>
      <c r="G93" s="8"/>
      <c r="H93" s="76">
        <v>1596.5</v>
      </c>
      <c r="I93" s="72"/>
      <c r="J93" s="76">
        <v>551.5</v>
      </c>
      <c r="K93" s="72"/>
      <c r="L93" s="76">
        <v>2514.5</v>
      </c>
    </row>
    <row r="94" spans="1:15" x14ac:dyDescent="0.2">
      <c r="C94" s="4" t="s">
        <v>104</v>
      </c>
      <c r="E94" s="76">
        <v>199664.99</v>
      </c>
      <c r="F94" s="72"/>
      <c r="G94" s="8"/>
      <c r="H94" s="76">
        <v>327710.81</v>
      </c>
      <c r="I94" s="72"/>
      <c r="J94" s="76">
        <v>111570.81</v>
      </c>
      <c r="K94" s="72"/>
      <c r="L94" s="76">
        <v>143913.51</v>
      </c>
    </row>
    <row r="95" spans="1:15" x14ac:dyDescent="0.2">
      <c r="C95" s="4" t="s">
        <v>105</v>
      </c>
      <c r="E95" s="76">
        <v>50163.68</v>
      </c>
      <c r="F95" s="72"/>
      <c r="G95" s="8"/>
      <c r="H95" s="76">
        <v>125633.14</v>
      </c>
      <c r="I95" s="72"/>
      <c r="J95" s="76">
        <v>53051.3</v>
      </c>
      <c r="K95" s="72"/>
      <c r="L95" s="76">
        <v>93014.61</v>
      </c>
    </row>
    <row r="96" spans="1:15" x14ac:dyDescent="0.2">
      <c r="B96" s="2" t="s">
        <v>70</v>
      </c>
      <c r="E96" s="84">
        <f>SUM(E93:E95)</f>
        <v>251457.66999999998</v>
      </c>
      <c r="F96" s="94"/>
      <c r="G96" s="25"/>
      <c r="H96" s="84">
        <f>SUM(H93:H95)</f>
        <v>454940.45</v>
      </c>
      <c r="I96" s="94"/>
      <c r="J96" s="84">
        <f>SUM(J93:J95)</f>
        <v>165173.60999999999</v>
      </c>
      <c r="K96" s="94"/>
      <c r="L96" s="84">
        <f>SUM(L93:L95)</f>
        <v>239442.62</v>
      </c>
      <c r="O96" s="1"/>
    </row>
    <row r="97" spans="2:15" x14ac:dyDescent="0.2">
      <c r="F97" s="72"/>
      <c r="G97" s="8"/>
      <c r="I97" s="72"/>
      <c r="J97" s="76"/>
      <c r="K97" s="72"/>
      <c r="L97" s="76"/>
    </row>
    <row r="98" spans="2:15" x14ac:dyDescent="0.2">
      <c r="B98" s="2" t="s">
        <v>71</v>
      </c>
      <c r="E98" s="91">
        <v>42760.2</v>
      </c>
      <c r="F98" s="72"/>
      <c r="G98" s="8"/>
      <c r="H98" s="91">
        <v>13823</v>
      </c>
      <c r="I98" s="72"/>
      <c r="J98" s="91">
        <v>106587.58</v>
      </c>
      <c r="K98" s="72"/>
      <c r="L98" s="91">
        <v>66459.460000000006</v>
      </c>
      <c r="O98" s="1"/>
    </row>
    <row r="99" spans="2:15" x14ac:dyDescent="0.2">
      <c r="F99" s="72"/>
      <c r="G99" s="8"/>
      <c r="I99" s="72"/>
      <c r="J99" s="76"/>
      <c r="K99" s="72"/>
      <c r="L99" s="76"/>
    </row>
    <row r="100" spans="2:15" x14ac:dyDescent="0.2">
      <c r="B100" s="2" t="s">
        <v>72</v>
      </c>
      <c r="F100" s="72"/>
      <c r="G100" s="8"/>
      <c r="I100" s="72"/>
      <c r="J100" s="76"/>
      <c r="K100" s="72"/>
      <c r="L100" s="76"/>
    </row>
    <row r="101" spans="2:15" x14ac:dyDescent="0.2">
      <c r="C101" s="24" t="s">
        <v>73</v>
      </c>
      <c r="E101" s="76">
        <v>803531.55</v>
      </c>
      <c r="G101" s="8"/>
      <c r="H101" s="76">
        <v>636674.63</v>
      </c>
      <c r="I101" s="72"/>
      <c r="J101" s="76">
        <v>787854.54</v>
      </c>
      <c r="K101" s="72"/>
      <c r="L101" s="76">
        <v>654724.04</v>
      </c>
      <c r="O101" s="1"/>
    </row>
    <row r="102" spans="2:15" x14ac:dyDescent="0.2">
      <c r="C102" s="24" t="s">
        <v>97</v>
      </c>
      <c r="E102" s="92">
        <f>15846.61+7299.17+38781.96</f>
        <v>61927.74</v>
      </c>
      <c r="G102" s="8"/>
      <c r="H102" s="92">
        <f>49022.83</f>
        <v>49022.83</v>
      </c>
      <c r="I102" s="106"/>
      <c r="J102" s="92">
        <f>7479.9+81597.11+25537.6+32187.03-0.9</f>
        <v>146800.74</v>
      </c>
      <c r="K102" s="106"/>
      <c r="L102" s="92">
        <f>1983.92+5131.18+3306.86</f>
        <v>10421.960000000001</v>
      </c>
      <c r="O102" s="1"/>
    </row>
    <row r="103" spans="2:15" x14ac:dyDescent="0.2">
      <c r="C103" s="24" t="s">
        <v>76</v>
      </c>
      <c r="E103" s="76">
        <v>301374.21000000002</v>
      </c>
      <c r="G103" s="8"/>
      <c r="H103" s="76">
        <v>309599.88</v>
      </c>
      <c r="I103" s="106"/>
      <c r="J103" s="76">
        <v>330914.59999999998</v>
      </c>
      <c r="K103" s="106"/>
      <c r="L103" s="76">
        <v>326916.53000000003</v>
      </c>
      <c r="N103" s="55"/>
      <c r="O103" s="1"/>
    </row>
    <row r="104" spans="2:15" x14ac:dyDescent="0.2">
      <c r="C104" s="24" t="s">
        <v>75</v>
      </c>
      <c r="E104" s="76">
        <v>-253000</v>
      </c>
      <c r="G104" s="8"/>
      <c r="H104" s="76">
        <v>-253000</v>
      </c>
      <c r="I104" s="106"/>
      <c r="J104" s="76">
        <v>-253000</v>
      </c>
      <c r="K104" s="106"/>
      <c r="L104" s="76">
        <v>-253000</v>
      </c>
      <c r="O104" s="1"/>
    </row>
    <row r="105" spans="2:15" x14ac:dyDescent="0.2">
      <c r="C105" s="24" t="s">
        <v>77</v>
      </c>
      <c r="E105" s="92">
        <f>1117.11+5315.9</f>
        <v>6433.0099999999993</v>
      </c>
      <c r="G105" s="8"/>
      <c r="H105" s="92">
        <v>0</v>
      </c>
      <c r="I105" s="106"/>
      <c r="J105" s="92">
        <v>4290.58</v>
      </c>
      <c r="K105" s="106"/>
      <c r="L105" s="92">
        <v>0</v>
      </c>
      <c r="O105" s="1"/>
    </row>
    <row r="106" spans="2:15" x14ac:dyDescent="0.2">
      <c r="C106" s="24" t="s">
        <v>115</v>
      </c>
      <c r="E106" s="92">
        <v>3100</v>
      </c>
      <c r="F106" s="92"/>
      <c r="G106" s="8"/>
      <c r="H106" s="92">
        <v>3100</v>
      </c>
      <c r="I106" s="72"/>
      <c r="J106" s="92">
        <v>3100</v>
      </c>
      <c r="K106" s="72"/>
      <c r="L106" s="92">
        <v>3100</v>
      </c>
      <c r="N106" s="55"/>
      <c r="O106" s="1"/>
    </row>
    <row r="107" spans="2:15" x14ac:dyDescent="0.2">
      <c r="B107" s="2" t="s">
        <v>78</v>
      </c>
      <c r="E107" s="93">
        <f>SUM(E101:E106)</f>
        <v>923366.51</v>
      </c>
      <c r="F107" s="89"/>
      <c r="G107" s="8"/>
      <c r="H107" s="93">
        <f>SUM(H101:H106)</f>
        <v>745397.34</v>
      </c>
      <c r="I107" s="72"/>
      <c r="J107" s="93">
        <f>SUM(J101:J106)</f>
        <v>1019960.4599999998</v>
      </c>
      <c r="K107" s="72"/>
      <c r="L107" s="93">
        <f>SUM(L101:L106)</f>
        <v>742162.53</v>
      </c>
      <c r="N107" s="55"/>
    </row>
    <row r="108" spans="2:15" x14ac:dyDescent="0.2">
      <c r="G108" s="8"/>
      <c r="I108" s="72"/>
      <c r="J108" s="76"/>
      <c r="K108" s="72"/>
      <c r="L108" s="76"/>
      <c r="N108" s="55"/>
    </row>
    <row r="109" spans="2:15" ht="13.5" thickBot="1" x14ac:dyDescent="0.25">
      <c r="B109" s="2" t="s">
        <v>79</v>
      </c>
      <c r="E109" s="77">
        <f>SUM(E107,E98,E96)</f>
        <v>1217584.3799999999</v>
      </c>
      <c r="F109" s="94"/>
      <c r="G109" s="8"/>
      <c r="H109" s="77">
        <f>SUM(H107,H98,H96)</f>
        <v>1214160.79</v>
      </c>
      <c r="I109" s="94"/>
      <c r="J109" s="77">
        <f>SUM(J107,J98,J96)</f>
        <v>1291721.6499999999</v>
      </c>
      <c r="K109" s="94"/>
      <c r="L109" s="77">
        <f>SUM(L107,L98,L96)</f>
        <v>1048064.61</v>
      </c>
      <c r="N109" s="55"/>
      <c r="O109" s="1"/>
    </row>
    <row r="110" spans="2:15" ht="13.5" thickTop="1" x14ac:dyDescent="0.2">
      <c r="E110" s="74"/>
      <c r="F110" s="74"/>
      <c r="G110" s="8"/>
      <c r="H110" s="74"/>
      <c r="I110" s="94"/>
      <c r="J110" s="74"/>
      <c r="K110" s="94"/>
      <c r="L110" s="74"/>
      <c r="N110" s="55"/>
    </row>
    <row r="111" spans="2:15" x14ac:dyDescent="0.2">
      <c r="B111" s="2" t="s">
        <v>80</v>
      </c>
      <c r="G111" s="8"/>
      <c r="I111" s="72"/>
      <c r="J111" s="76"/>
      <c r="K111" s="72"/>
      <c r="L111" s="76"/>
      <c r="N111" s="55"/>
    </row>
    <row r="112" spans="2:15" x14ac:dyDescent="0.2">
      <c r="C112" s="24" t="s">
        <v>92</v>
      </c>
      <c r="E112" s="94">
        <v>99463.01</v>
      </c>
      <c r="F112" s="94"/>
      <c r="G112" s="25"/>
      <c r="H112" s="94">
        <v>99080.79</v>
      </c>
      <c r="I112" s="94"/>
      <c r="J112" s="94">
        <v>107103.82</v>
      </c>
      <c r="K112" s="94"/>
      <c r="L112" s="94">
        <v>100982.96</v>
      </c>
      <c r="N112" s="55"/>
    </row>
    <row r="113" spans="2:14" x14ac:dyDescent="0.2">
      <c r="C113" s="24" t="s">
        <v>106</v>
      </c>
      <c r="E113" s="94">
        <v>0</v>
      </c>
      <c r="F113" s="94"/>
      <c r="G113" s="25"/>
      <c r="H113" s="94">
        <v>0</v>
      </c>
      <c r="I113" s="94"/>
      <c r="J113" s="94">
        <v>162448</v>
      </c>
      <c r="K113" s="94"/>
      <c r="L113" s="94">
        <v>0</v>
      </c>
      <c r="N113" s="55"/>
    </row>
    <row r="114" spans="2:14" x14ac:dyDescent="0.2">
      <c r="C114" s="24" t="s">
        <v>117</v>
      </c>
      <c r="E114" s="76">
        <f>200.38+1334</f>
        <v>1534.38</v>
      </c>
      <c r="F114" s="94"/>
      <c r="G114" s="25"/>
      <c r="H114" s="76">
        <f>258.13+3197</f>
        <v>3455.13</v>
      </c>
      <c r="I114" s="94"/>
      <c r="J114" s="76">
        <f>225.13+6250</f>
        <v>6475.13</v>
      </c>
      <c r="K114" s="94"/>
      <c r="L114" s="94">
        <v>0</v>
      </c>
      <c r="N114" s="55"/>
    </row>
    <row r="115" spans="2:14" x14ac:dyDescent="0.2">
      <c r="C115" s="24" t="s">
        <v>118</v>
      </c>
      <c r="E115" s="76">
        <f>6534.17</f>
        <v>6534.17</v>
      </c>
      <c r="F115" s="94"/>
      <c r="G115" s="25"/>
      <c r="H115" s="76">
        <v>6534.17</v>
      </c>
      <c r="I115" s="94"/>
      <c r="J115" s="76">
        <v>8078.93</v>
      </c>
      <c r="K115" s="94"/>
      <c r="L115" s="94">
        <v>0</v>
      </c>
      <c r="N115" s="55"/>
    </row>
    <row r="116" spans="2:14" x14ac:dyDescent="0.2">
      <c r="C116" s="24" t="s">
        <v>122</v>
      </c>
      <c r="E116" s="76">
        <v>3156</v>
      </c>
      <c r="F116" s="94"/>
      <c r="G116" s="25"/>
      <c r="H116" s="76">
        <f>257+10846.8</f>
        <v>11103.8</v>
      </c>
      <c r="I116" s="94"/>
      <c r="J116" s="76">
        <v>0</v>
      </c>
      <c r="K116" s="94"/>
      <c r="L116" s="94">
        <v>0</v>
      </c>
      <c r="N116" s="55"/>
    </row>
    <row r="117" spans="2:14" x14ac:dyDescent="0.2">
      <c r="C117" s="24" t="s">
        <v>82</v>
      </c>
      <c r="E117" s="76">
        <v>12606.88</v>
      </c>
      <c r="G117" s="8"/>
      <c r="H117" s="76">
        <f>758.35+6.24</f>
        <v>764.59</v>
      </c>
      <c r="I117" s="72"/>
      <c r="J117" s="76">
        <f>5.79+6534.17</f>
        <v>6539.96</v>
      </c>
      <c r="K117" s="72"/>
      <c r="L117" s="76">
        <v>3784.69</v>
      </c>
    </row>
    <row r="118" spans="2:14" x14ac:dyDescent="0.2">
      <c r="B118" s="2" t="s">
        <v>84</v>
      </c>
      <c r="E118" s="84">
        <f>SUM(E112:E117)</f>
        <v>123294.44</v>
      </c>
      <c r="F118" s="94"/>
      <c r="G118" s="25"/>
      <c r="H118" s="84">
        <f>SUM(H112:H117)</f>
        <v>120938.48</v>
      </c>
      <c r="I118" s="94"/>
      <c r="J118" s="84">
        <f>SUM(J112:J117)</f>
        <v>290645.84000000003</v>
      </c>
      <c r="K118" s="94"/>
      <c r="L118" s="84">
        <f>SUM(L112:L117)</f>
        <v>104767.65000000001</v>
      </c>
    </row>
    <row r="119" spans="2:14" x14ac:dyDescent="0.2">
      <c r="E119" s="74"/>
      <c r="F119" s="74"/>
      <c r="G119" s="8"/>
      <c r="H119" s="74"/>
      <c r="I119" s="94"/>
      <c r="J119" s="74"/>
      <c r="K119" s="94"/>
      <c r="L119" s="74"/>
    </row>
    <row r="120" spans="2:14" x14ac:dyDescent="0.2">
      <c r="B120" s="2" t="s">
        <v>85</v>
      </c>
      <c r="G120" s="8"/>
      <c r="I120" s="72"/>
      <c r="J120" s="76"/>
      <c r="K120" s="72"/>
      <c r="L120" s="76"/>
    </row>
    <row r="121" spans="2:14" x14ac:dyDescent="0.2">
      <c r="C121" s="24" t="s">
        <v>86</v>
      </c>
      <c r="E121" s="76">
        <v>1093222.31</v>
      </c>
      <c r="G121" s="8"/>
      <c r="H121" s="76">
        <v>1001075.81</v>
      </c>
      <c r="I121" s="72"/>
      <c r="J121" s="76">
        <v>943296.96</v>
      </c>
      <c r="K121" s="72"/>
      <c r="L121" s="76">
        <v>861366.05</v>
      </c>
    </row>
    <row r="122" spans="2:14" x14ac:dyDescent="0.2">
      <c r="C122" s="24" t="s">
        <v>87</v>
      </c>
      <c r="E122" s="76">
        <f>E87</f>
        <v>1067.6299999999555</v>
      </c>
      <c r="G122" s="8"/>
      <c r="H122" s="76">
        <f>H87</f>
        <v>92146.499999999782</v>
      </c>
      <c r="I122" s="72"/>
      <c r="J122" s="76">
        <f>J87</f>
        <v>57779.409999999887</v>
      </c>
      <c r="K122" s="72"/>
      <c r="L122" s="76">
        <f>L87</f>
        <v>81931.769999999946</v>
      </c>
    </row>
    <row r="123" spans="2:14" ht="13.5" thickBot="1" x14ac:dyDescent="0.25">
      <c r="B123" s="2" t="s">
        <v>88</v>
      </c>
      <c r="E123" s="77">
        <f>SUM(E121:E122)</f>
        <v>1094289.94</v>
      </c>
      <c r="F123" s="94"/>
      <c r="G123" s="8"/>
      <c r="H123" s="77">
        <f>SUM(H121:H122)</f>
        <v>1093222.3099999998</v>
      </c>
      <c r="I123" s="94"/>
      <c r="J123" s="77">
        <f>SUM(J121:J122)</f>
        <v>1001076.3699999999</v>
      </c>
      <c r="K123" s="94"/>
      <c r="L123" s="77">
        <f>SUM(L121:L122)</f>
        <v>943297.82</v>
      </c>
    </row>
    <row r="124" spans="2:14" ht="13.5" thickTop="1" x14ac:dyDescent="0.2">
      <c r="E124" s="74"/>
      <c r="F124" s="74"/>
      <c r="G124" s="8"/>
      <c r="H124" s="74"/>
      <c r="I124" s="94"/>
      <c r="J124" s="74"/>
      <c r="K124" s="94"/>
      <c r="L124" s="74"/>
    </row>
    <row r="125" spans="2:14" ht="13.5" thickBot="1" x14ac:dyDescent="0.25">
      <c r="B125" s="2" t="s">
        <v>89</v>
      </c>
      <c r="E125" s="77">
        <f>E118+E123</f>
        <v>1217584.3799999999</v>
      </c>
      <c r="F125" s="94"/>
      <c r="G125" s="8"/>
      <c r="H125" s="77">
        <f>H118+H123</f>
        <v>1214160.7899999998</v>
      </c>
      <c r="I125" s="94"/>
      <c r="J125" s="77">
        <f>J118+J123</f>
        <v>1291722.21</v>
      </c>
      <c r="K125" s="94"/>
      <c r="L125" s="77">
        <f>L118+L123</f>
        <v>1048065.47</v>
      </c>
    </row>
    <row r="126" spans="2:14" ht="13.5" thickTop="1" x14ac:dyDescent="0.2">
      <c r="E126" s="74"/>
      <c r="F126" s="74"/>
      <c r="G126" s="8"/>
      <c r="H126" s="74"/>
      <c r="I126" s="41"/>
      <c r="J126" s="74"/>
      <c r="K126" s="41"/>
      <c r="L126" s="74"/>
    </row>
    <row r="127" spans="2:14" x14ac:dyDescent="0.2">
      <c r="E127" s="74"/>
      <c r="F127" s="74"/>
      <c r="G127" s="9"/>
      <c r="H127" s="74"/>
      <c r="I127" s="41"/>
      <c r="J127" s="74"/>
      <c r="K127" s="41"/>
      <c r="L127" s="74"/>
    </row>
  </sheetData>
  <mergeCells count="7">
    <mergeCell ref="B85:C85"/>
    <mergeCell ref="B38:C38"/>
    <mergeCell ref="B47:C47"/>
    <mergeCell ref="B60:C60"/>
    <mergeCell ref="B62:C62"/>
    <mergeCell ref="B76:C76"/>
    <mergeCell ref="B80:C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opLeftCell="A127" workbookViewId="0">
      <selection activeCell="A127" sqref="A127"/>
    </sheetView>
  </sheetViews>
  <sheetFormatPr defaultRowHeight="12.75" x14ac:dyDescent="0.2"/>
  <cols>
    <col min="1" max="1" width="6.7109375" style="4" customWidth="1"/>
    <col min="2" max="2" width="3.85546875" style="4" customWidth="1"/>
    <col min="3" max="3" width="45.140625" style="4" customWidth="1"/>
    <col min="4" max="4" width="1.7109375" style="4" customWidth="1"/>
    <col min="5" max="5" width="10" style="76" customWidth="1"/>
    <col min="6" max="6" width="10.140625" style="76" bestFit="1" customWidth="1"/>
    <col min="7" max="7" width="1.7109375" style="4" customWidth="1"/>
    <col min="8" max="8" width="10" style="4" customWidth="1"/>
    <col min="9" max="9" width="1.7109375" style="4" customWidth="1"/>
    <col min="10" max="10" width="10" style="4" customWidth="1"/>
    <col min="11" max="11" width="1.7109375" style="4" customWidth="1"/>
    <col min="12" max="12" width="10" style="4" customWidth="1"/>
    <col min="13" max="13" width="3.140625" style="4" customWidth="1"/>
    <col min="14" max="14" width="1.85546875" style="4" customWidth="1"/>
  </cols>
  <sheetData>
    <row r="1" spans="1:12" x14ac:dyDescent="0.2">
      <c r="C1" s="15" t="s">
        <v>107</v>
      </c>
      <c r="D1" s="9"/>
      <c r="E1" s="72"/>
      <c r="F1" s="72"/>
      <c r="G1" s="9"/>
      <c r="H1" s="9"/>
      <c r="J1" s="9"/>
    </row>
    <row r="2" spans="1:12" ht="16.5" thickBot="1" x14ac:dyDescent="0.25">
      <c r="B2" s="16"/>
      <c r="C2" s="17" t="s">
        <v>119</v>
      </c>
      <c r="D2" s="18"/>
      <c r="E2" s="73"/>
      <c r="F2" s="73"/>
      <c r="G2" s="18"/>
      <c r="H2" s="40"/>
      <c r="I2" s="9"/>
      <c r="J2" s="40"/>
      <c r="K2" s="9"/>
      <c r="L2" s="9"/>
    </row>
    <row r="3" spans="1:12" ht="13.5" thickTop="1" x14ac:dyDescent="0.2">
      <c r="B3" s="20"/>
      <c r="C3" s="20"/>
      <c r="D3" s="20"/>
      <c r="E3" s="74"/>
      <c r="F3" s="74"/>
      <c r="H3" s="9"/>
      <c r="I3" s="9"/>
      <c r="J3" s="9"/>
      <c r="K3" s="9"/>
      <c r="L3" s="9"/>
    </row>
    <row r="4" spans="1:12" x14ac:dyDescent="0.2">
      <c r="B4" s="2" t="s">
        <v>7</v>
      </c>
      <c r="E4" s="75" t="s">
        <v>8</v>
      </c>
      <c r="F4" s="90"/>
      <c r="G4" s="8"/>
      <c r="H4" s="23">
        <v>2020</v>
      </c>
      <c r="I4" s="9"/>
      <c r="J4" s="23">
        <v>2019</v>
      </c>
      <c r="K4" s="9"/>
      <c r="L4" s="23">
        <v>2018</v>
      </c>
    </row>
    <row r="5" spans="1:12" x14ac:dyDescent="0.2">
      <c r="C5" s="24" t="s">
        <v>6</v>
      </c>
      <c r="E5" s="76">
        <f>480831.76+1417.32</f>
        <v>482249.08</v>
      </c>
      <c r="G5" s="8"/>
      <c r="H5" s="76">
        <f>445694.43+1163.89</f>
        <v>446858.32</v>
      </c>
      <c r="I5" s="72"/>
      <c r="J5" s="76">
        <f>475975.12+2087.12</f>
        <v>478062.24</v>
      </c>
      <c r="K5" s="72"/>
      <c r="L5" s="76">
        <f>434458.88+1417.56+3131.16</f>
        <v>439007.6</v>
      </c>
    </row>
    <row r="6" spans="1:12" x14ac:dyDescent="0.2">
      <c r="C6" s="24" t="s">
        <v>5</v>
      </c>
      <c r="E6" s="76">
        <v>32607.64</v>
      </c>
      <c r="G6" s="8"/>
      <c r="H6" s="76">
        <v>32649.8</v>
      </c>
      <c r="I6" s="72"/>
      <c r="J6" s="76">
        <v>46635.41</v>
      </c>
      <c r="K6" s="72"/>
      <c r="L6" s="76">
        <v>47312.97</v>
      </c>
    </row>
    <row r="7" spans="1:12" x14ac:dyDescent="0.2">
      <c r="C7" s="24" t="s">
        <v>4</v>
      </c>
      <c r="E7" s="76">
        <v>124394.16</v>
      </c>
      <c r="G7" s="25"/>
      <c r="H7" s="76">
        <v>60707.21</v>
      </c>
      <c r="I7" s="72"/>
      <c r="J7" s="76">
        <v>102279.52</v>
      </c>
      <c r="K7" s="72"/>
      <c r="L7" s="76">
        <v>94669.64</v>
      </c>
    </row>
    <row r="8" spans="1:12" x14ac:dyDescent="0.2">
      <c r="C8" s="24" t="s">
        <v>63</v>
      </c>
      <c r="E8" s="76">
        <v>236.1</v>
      </c>
      <c r="G8" s="25"/>
      <c r="H8" s="76">
        <f>-0.8+0.24</f>
        <v>-0.56000000000000005</v>
      </c>
      <c r="I8" s="72"/>
      <c r="J8" s="76">
        <v>-0.86</v>
      </c>
      <c r="K8" s="72"/>
      <c r="L8" s="76">
        <v>-93.02</v>
      </c>
    </row>
    <row r="9" spans="1:12" x14ac:dyDescent="0.2">
      <c r="C9" s="27" t="s">
        <v>109</v>
      </c>
      <c r="E9" s="76">
        <f>-24.66-324.63</f>
        <v>-349.29</v>
      </c>
      <c r="G9" s="8"/>
      <c r="H9" s="76">
        <f>-159.65-135.95</f>
        <v>-295.60000000000002</v>
      </c>
      <c r="I9" s="72"/>
      <c r="J9" s="76">
        <v>-31.31</v>
      </c>
      <c r="K9" s="72"/>
      <c r="L9" s="76">
        <v>-51.29</v>
      </c>
    </row>
    <row r="10" spans="1:12" ht="13.5" thickBot="1" x14ac:dyDescent="0.25">
      <c r="A10" s="12"/>
      <c r="B10" s="2" t="s">
        <v>9</v>
      </c>
      <c r="E10" s="77">
        <f>SUM(E5:E9)</f>
        <v>639137.68999999994</v>
      </c>
      <c r="F10" s="94"/>
      <c r="G10" s="25"/>
      <c r="H10" s="77">
        <f>H5+H6+H7+H9</f>
        <v>539919.73</v>
      </c>
      <c r="I10" s="72"/>
      <c r="J10" s="77">
        <f>J5+J6+J7+J9</f>
        <v>626945.86</v>
      </c>
      <c r="K10" s="72"/>
      <c r="L10" s="77">
        <f>L5+L6+L7+L9</f>
        <v>580938.91999999993</v>
      </c>
    </row>
    <row r="11" spans="1:12" ht="13.5" thickTop="1" x14ac:dyDescent="0.2">
      <c r="A11" s="12"/>
      <c r="B11" s="2"/>
      <c r="E11" s="78"/>
      <c r="F11" s="78"/>
      <c r="G11" s="25"/>
      <c r="H11" s="78"/>
      <c r="I11" s="26"/>
      <c r="J11" s="78"/>
      <c r="K11" s="26"/>
      <c r="L11" s="30"/>
    </row>
    <row r="12" spans="1:12" ht="33.75" x14ac:dyDescent="0.2">
      <c r="B12" s="2" t="s">
        <v>10</v>
      </c>
      <c r="E12" s="79" t="s">
        <v>25</v>
      </c>
      <c r="F12" s="96" t="s">
        <v>33</v>
      </c>
      <c r="G12" s="8"/>
      <c r="H12" s="79" t="s">
        <v>25</v>
      </c>
      <c r="I12" s="9"/>
      <c r="J12" s="79" t="s">
        <v>25</v>
      </c>
      <c r="K12" s="9"/>
      <c r="L12" s="3" t="s">
        <v>25</v>
      </c>
    </row>
    <row r="13" spans="1:12" x14ac:dyDescent="0.2">
      <c r="C13" s="4" t="s">
        <v>3</v>
      </c>
      <c r="E13" s="76">
        <v>81497.11</v>
      </c>
      <c r="F13" s="97"/>
      <c r="G13" s="8"/>
      <c r="H13" s="76">
        <v>218932.46</v>
      </c>
      <c r="I13" s="72"/>
      <c r="J13" s="76">
        <v>285304.33</v>
      </c>
      <c r="K13" s="72"/>
      <c r="L13" s="76">
        <v>217034.78</v>
      </c>
    </row>
    <row r="14" spans="1:12" x14ac:dyDescent="0.2">
      <c r="C14" s="24" t="s">
        <v>11</v>
      </c>
      <c r="E14" s="76">
        <v>6823.74</v>
      </c>
      <c r="F14" s="97">
        <v>5393.44</v>
      </c>
      <c r="G14" s="8"/>
      <c r="H14" s="76">
        <v>73452.42</v>
      </c>
      <c r="I14" s="72"/>
      <c r="J14" s="76">
        <v>50108.28</v>
      </c>
      <c r="K14" s="72"/>
      <c r="L14" s="76">
        <v>10473.65</v>
      </c>
    </row>
    <row r="15" spans="1:12" x14ac:dyDescent="0.2">
      <c r="C15" s="24" t="s">
        <v>12</v>
      </c>
      <c r="E15" s="76">
        <v>87619.59</v>
      </c>
      <c r="F15" s="97">
        <v>80308.25</v>
      </c>
      <c r="G15" s="25"/>
      <c r="H15" s="76">
        <v>47086.38</v>
      </c>
      <c r="I15" s="72"/>
      <c r="J15" s="76">
        <v>176761.72</v>
      </c>
      <c r="K15" s="72"/>
      <c r="L15" s="76">
        <v>102703.7</v>
      </c>
    </row>
    <row r="16" spans="1:12" x14ac:dyDescent="0.2">
      <c r="C16" s="24" t="s">
        <v>121</v>
      </c>
      <c r="E16" s="76">
        <v>32137.03</v>
      </c>
      <c r="F16" s="97"/>
      <c r="G16" s="25"/>
      <c r="H16" s="76"/>
      <c r="I16" s="72"/>
      <c r="J16" s="76"/>
      <c r="K16" s="72"/>
      <c r="L16" s="76"/>
    </row>
    <row r="17" spans="3:12" x14ac:dyDescent="0.2">
      <c r="C17" s="24" t="s">
        <v>13</v>
      </c>
      <c r="E17" s="76">
        <v>4133.3500000000004</v>
      </c>
      <c r="F17" s="97"/>
      <c r="G17" s="25"/>
      <c r="H17" s="76">
        <v>7828.99</v>
      </c>
      <c r="I17" s="72"/>
      <c r="J17" s="76">
        <v>8415.4</v>
      </c>
      <c r="K17" s="72"/>
      <c r="L17" s="76">
        <v>0</v>
      </c>
    </row>
    <row r="18" spans="3:12" x14ac:dyDescent="0.2">
      <c r="C18" s="24" t="s">
        <v>14</v>
      </c>
      <c r="F18" s="97"/>
      <c r="G18" s="25"/>
      <c r="H18" s="76">
        <v>73289.679999999993</v>
      </c>
      <c r="I18" s="72"/>
      <c r="J18" s="76">
        <v>0</v>
      </c>
      <c r="K18" s="72"/>
      <c r="L18" s="76">
        <v>32099.64</v>
      </c>
    </row>
    <row r="19" spans="3:12" x14ac:dyDescent="0.2">
      <c r="C19" s="24" t="s">
        <v>15</v>
      </c>
      <c r="F19" s="97"/>
      <c r="G19" s="25"/>
      <c r="H19" s="76">
        <v>10705.74</v>
      </c>
      <c r="I19" s="72"/>
      <c r="J19" s="76">
        <v>6941.85</v>
      </c>
      <c r="K19" s="72"/>
      <c r="L19" s="76">
        <v>0</v>
      </c>
    </row>
    <row r="20" spans="3:12" x14ac:dyDescent="0.2">
      <c r="C20" s="24" t="s">
        <v>16</v>
      </c>
      <c r="E20" s="76">
        <v>52740.62</v>
      </c>
      <c r="F20" s="97">
        <v>52614.67</v>
      </c>
      <c r="G20" s="25"/>
      <c r="H20" s="76">
        <v>1553</v>
      </c>
      <c r="I20" s="72"/>
      <c r="J20" s="76">
        <v>0</v>
      </c>
      <c r="K20" s="72"/>
      <c r="L20" s="76">
        <v>0</v>
      </c>
    </row>
    <row r="21" spans="3:12" x14ac:dyDescent="0.2">
      <c r="C21" s="24" t="s">
        <v>101</v>
      </c>
      <c r="F21" s="97"/>
      <c r="G21" s="25"/>
      <c r="H21" s="76">
        <v>30294.32</v>
      </c>
      <c r="I21" s="72"/>
      <c r="J21" s="76"/>
      <c r="K21" s="72"/>
      <c r="L21" s="76"/>
    </row>
    <row r="22" spans="3:12" x14ac:dyDescent="0.2">
      <c r="C22" s="24" t="s">
        <v>17</v>
      </c>
      <c r="F22" s="97"/>
      <c r="G22" s="25"/>
      <c r="H22" s="76">
        <v>0</v>
      </c>
      <c r="I22" s="72"/>
      <c r="J22" s="76">
        <v>26741.73</v>
      </c>
      <c r="K22" s="72"/>
      <c r="L22" s="76">
        <v>0</v>
      </c>
    </row>
    <row r="23" spans="3:12" x14ac:dyDescent="0.2">
      <c r="C23" s="24" t="s">
        <v>18</v>
      </c>
      <c r="E23" s="76">
        <f>28611.12+5872.95</f>
        <v>34484.07</v>
      </c>
      <c r="F23" s="98">
        <v>1867.2</v>
      </c>
      <c r="G23" s="25"/>
      <c r="H23" s="76">
        <v>8547.82</v>
      </c>
      <c r="I23" s="72"/>
      <c r="J23" s="76">
        <v>11763.4</v>
      </c>
      <c r="K23" s="72"/>
      <c r="L23" s="76">
        <v>12168.53</v>
      </c>
    </row>
    <row r="24" spans="3:12" x14ac:dyDescent="0.2">
      <c r="C24" s="24" t="s">
        <v>19</v>
      </c>
      <c r="F24" s="98"/>
      <c r="G24" s="25"/>
      <c r="H24" s="76">
        <v>40611.97</v>
      </c>
      <c r="I24" s="72"/>
      <c r="J24" s="76">
        <v>30746.06</v>
      </c>
      <c r="K24" s="72"/>
      <c r="L24" s="76">
        <v>27544.45</v>
      </c>
    </row>
    <row r="25" spans="3:12" x14ac:dyDescent="0.2">
      <c r="C25" s="24" t="s">
        <v>20</v>
      </c>
      <c r="E25" s="76">
        <v>13911.84</v>
      </c>
      <c r="F25" s="98">
        <v>13810.93</v>
      </c>
      <c r="G25" s="25"/>
      <c r="H25" s="76"/>
      <c r="I25" s="72"/>
      <c r="J25" s="76"/>
      <c r="K25" s="72"/>
      <c r="L25" s="76"/>
    </row>
    <row r="26" spans="3:12" x14ac:dyDescent="0.2">
      <c r="C26" s="24" t="s">
        <v>21</v>
      </c>
      <c r="E26" s="76">
        <v>55661.41</v>
      </c>
      <c r="F26" s="98">
        <v>10674.58</v>
      </c>
      <c r="G26" s="25"/>
      <c r="H26" s="76">
        <v>20615.41</v>
      </c>
      <c r="I26" s="72"/>
      <c r="J26" s="76">
        <v>26948.3</v>
      </c>
      <c r="K26" s="72"/>
      <c r="L26" s="76">
        <v>0</v>
      </c>
    </row>
    <row r="27" spans="3:12" x14ac:dyDescent="0.2">
      <c r="C27" s="24" t="s">
        <v>22</v>
      </c>
      <c r="E27" s="76">
        <v>118750.57</v>
      </c>
      <c r="F27" s="98">
        <v>88978.22</v>
      </c>
      <c r="G27" s="25"/>
      <c r="H27" s="76">
        <v>123368.54</v>
      </c>
      <c r="I27" s="72"/>
      <c r="J27" s="76">
        <v>96364.49</v>
      </c>
      <c r="K27" s="72"/>
      <c r="L27" s="76">
        <v>102418.51</v>
      </c>
    </row>
    <row r="28" spans="3:12" x14ac:dyDescent="0.2">
      <c r="C28" s="24" t="s">
        <v>23</v>
      </c>
      <c r="F28" s="98"/>
      <c r="G28" s="25"/>
      <c r="H28" s="76">
        <v>0</v>
      </c>
      <c r="I28" s="72"/>
      <c r="J28" s="76">
        <v>0</v>
      </c>
      <c r="K28" s="72"/>
      <c r="L28" s="76">
        <v>24313.38</v>
      </c>
    </row>
    <row r="29" spans="3:12" x14ac:dyDescent="0.2">
      <c r="C29" s="24" t="s">
        <v>26</v>
      </c>
      <c r="E29" s="76">
        <v>101069.1</v>
      </c>
      <c r="F29" s="98">
        <v>64689.19</v>
      </c>
      <c r="G29" s="8"/>
      <c r="H29" s="76">
        <f>5682.92+14680+22232.75+6363.33+1398.87+13313+12719.75</f>
        <v>76390.62</v>
      </c>
      <c r="I29" s="72"/>
      <c r="J29" s="76">
        <f>2669.66+2650+36468.65+2036.69+8789+10451.14</f>
        <v>63065.14</v>
      </c>
      <c r="K29" s="72"/>
      <c r="L29" s="76">
        <f>8908.21+29494.35+7665+916.4+8789</f>
        <v>55772.959999999999</v>
      </c>
    </row>
    <row r="30" spans="3:12" x14ac:dyDescent="0.2">
      <c r="C30" s="24" t="s">
        <v>120</v>
      </c>
      <c r="E30" s="76">
        <f>2352.81+9795.41</f>
        <v>12148.22</v>
      </c>
      <c r="F30" s="98"/>
      <c r="G30" s="8"/>
      <c r="H30" s="76">
        <f>2025+50+50+165.98+100+50+256+100+4227.58+4758.62</f>
        <v>11783.18</v>
      </c>
      <c r="I30" s="72"/>
      <c r="J30" s="76">
        <f>50+100+50+256+256+50+6872.04+4076.69</f>
        <v>11710.73</v>
      </c>
      <c r="K30" s="72"/>
      <c r="L30" s="76">
        <f>40+275+150+1150.4+50</f>
        <v>1665.4</v>
      </c>
    </row>
    <row r="31" spans="3:12" ht="25.5" x14ac:dyDescent="0.2">
      <c r="C31" s="5" t="s">
        <v>28</v>
      </c>
      <c r="E31" s="76">
        <f>1267+6121.8</f>
        <v>7388.8</v>
      </c>
      <c r="F31" s="98"/>
      <c r="G31" s="8"/>
      <c r="H31" s="76">
        <f>358.1+3227.5+1217.9+1249</f>
        <v>6052.5</v>
      </c>
      <c r="I31" s="72"/>
      <c r="J31" s="76">
        <f>373.3+23.1+1792.5+1224</f>
        <v>3412.9</v>
      </c>
      <c r="K31" s="72"/>
      <c r="L31" s="76">
        <f>524.4+1573.5+1217+2470</f>
        <v>5784.9</v>
      </c>
    </row>
    <row r="32" spans="3:12" x14ac:dyDescent="0.2">
      <c r="C32" s="24" t="s">
        <v>29</v>
      </c>
      <c r="E32" s="76">
        <f>124.8+0</f>
        <v>124.8</v>
      </c>
      <c r="F32" s="99"/>
      <c r="G32" s="8"/>
      <c r="H32" s="76">
        <v>249.6</v>
      </c>
      <c r="I32" s="72"/>
      <c r="J32" s="76">
        <v>247.6</v>
      </c>
      <c r="K32" s="72"/>
      <c r="L32" s="76">
        <f>32+91.6</f>
        <v>123.6</v>
      </c>
    </row>
    <row r="33" spans="1:14" x14ac:dyDescent="0.2">
      <c r="B33" s="2" t="s">
        <v>30</v>
      </c>
      <c r="E33" s="80">
        <f>SUM(E13:E32)</f>
        <v>608490.25000000012</v>
      </c>
      <c r="G33" s="25"/>
      <c r="H33" s="80">
        <f>SUM(H13:H32)</f>
        <v>750762.63000000012</v>
      </c>
      <c r="I33" s="94"/>
      <c r="J33" s="80">
        <f>SUM(J13:J32)</f>
        <v>798531.93</v>
      </c>
      <c r="K33" s="94"/>
      <c r="L33" s="80">
        <f>SUM(L13:L32)</f>
        <v>592103.5</v>
      </c>
    </row>
    <row r="34" spans="1:14" x14ac:dyDescent="0.2">
      <c r="A34" s="63"/>
      <c r="B34" s="63"/>
      <c r="C34" s="24" t="s">
        <v>24</v>
      </c>
      <c r="D34" s="24"/>
      <c r="E34" s="81">
        <f>-F34</f>
        <v>-318336.48</v>
      </c>
      <c r="F34" s="98">
        <f>SUM(F13:F32)</f>
        <v>318336.48</v>
      </c>
      <c r="G34" s="64"/>
      <c r="H34" s="81">
        <v>-240920.75</v>
      </c>
      <c r="I34" s="81"/>
      <c r="J34" s="81">
        <v>-289685.02</v>
      </c>
      <c r="K34" s="81"/>
      <c r="L34" s="81">
        <f>-6046.16-9641.48-49381.16-12044.05-35656.17-82782.58</f>
        <v>-195551.6</v>
      </c>
      <c r="M34" s="63"/>
      <c r="N34" s="63"/>
    </row>
    <row r="35" spans="1:14" x14ac:dyDescent="0.2">
      <c r="B35" s="2" t="s">
        <v>31</v>
      </c>
      <c r="E35" s="78">
        <f>E33+E34</f>
        <v>290153.77000000014</v>
      </c>
      <c r="F35" s="100"/>
      <c r="G35" s="25"/>
      <c r="H35" s="78">
        <f>H33+H34</f>
        <v>509841.88000000012</v>
      </c>
      <c r="I35" s="94"/>
      <c r="J35" s="78">
        <f>J33+J34</f>
        <v>508846.91000000003</v>
      </c>
      <c r="K35" s="94"/>
      <c r="L35" s="78">
        <f>L33+L34</f>
        <v>396551.9</v>
      </c>
    </row>
    <row r="36" spans="1:14" x14ac:dyDescent="0.2">
      <c r="F36" s="101"/>
      <c r="G36" s="8"/>
      <c r="H36" s="76"/>
      <c r="I36" s="72"/>
      <c r="J36" s="76"/>
      <c r="K36" s="72"/>
      <c r="L36" s="76"/>
    </row>
    <row r="37" spans="1:14" x14ac:dyDescent="0.2">
      <c r="B37" s="2" t="s">
        <v>34</v>
      </c>
      <c r="E37" s="82">
        <v>151179.91</v>
      </c>
      <c r="F37" s="72"/>
      <c r="G37" s="25"/>
      <c r="H37" s="82">
        <v>-133130.5</v>
      </c>
      <c r="I37" s="105"/>
      <c r="J37" s="82">
        <v>-86379.74</v>
      </c>
      <c r="K37" s="105"/>
      <c r="L37" s="82">
        <v>33327.26</v>
      </c>
    </row>
    <row r="38" spans="1:14" x14ac:dyDescent="0.2">
      <c r="F38" s="72"/>
      <c r="G38" s="8"/>
      <c r="H38" s="76"/>
      <c r="I38" s="72"/>
      <c r="J38" s="76"/>
      <c r="K38" s="72"/>
      <c r="L38" s="76"/>
    </row>
    <row r="39" spans="1:14" ht="13.5" thickBot="1" x14ac:dyDescent="0.25">
      <c r="B39" s="123" t="s">
        <v>36</v>
      </c>
      <c r="C39" s="123"/>
      <c r="E39" s="83">
        <f>E35+E37</f>
        <v>441333.68000000017</v>
      </c>
      <c r="F39" s="72"/>
      <c r="G39" s="8"/>
      <c r="H39" s="83">
        <f>H35+H37</f>
        <v>376711.38000000012</v>
      </c>
      <c r="I39" s="105"/>
      <c r="J39" s="83">
        <f>J35+J37</f>
        <v>422467.17000000004</v>
      </c>
      <c r="K39" s="105"/>
      <c r="L39" s="83">
        <f>L35+L37</f>
        <v>429879.16000000003</v>
      </c>
    </row>
    <row r="40" spans="1:14" ht="13.5" thickTop="1" x14ac:dyDescent="0.2">
      <c r="F40" s="72"/>
      <c r="G40" s="8"/>
      <c r="H40" s="76"/>
      <c r="I40" s="72"/>
      <c r="J40" s="76"/>
      <c r="K40" s="72"/>
      <c r="L40" s="76"/>
    </row>
    <row r="41" spans="1:14" x14ac:dyDescent="0.2">
      <c r="F41" s="72"/>
      <c r="G41" s="8"/>
      <c r="H41" s="76"/>
      <c r="I41" s="72"/>
      <c r="J41" s="76"/>
      <c r="K41" s="72"/>
      <c r="L41" s="76"/>
    </row>
    <row r="42" spans="1:14" x14ac:dyDescent="0.2">
      <c r="B42" s="2" t="s">
        <v>35</v>
      </c>
      <c r="E42" s="84">
        <f>E10-E39</f>
        <v>197804.00999999978</v>
      </c>
      <c r="F42" s="72"/>
      <c r="G42" s="8"/>
      <c r="H42" s="84">
        <f>H10-H39</f>
        <v>163208.34999999986</v>
      </c>
      <c r="I42" s="94"/>
      <c r="J42" s="84">
        <f>J10-J39</f>
        <v>204478.68999999994</v>
      </c>
      <c r="K42" s="94"/>
      <c r="L42" s="84">
        <f>L10-L39</f>
        <v>151059.75999999989</v>
      </c>
    </row>
    <row r="43" spans="1:14" x14ac:dyDescent="0.2">
      <c r="A43" s="58"/>
      <c r="B43" s="58"/>
      <c r="C43" s="58"/>
      <c r="D43" s="58"/>
      <c r="E43" s="59">
        <f>E42/E10</f>
        <v>0.30948575415729246</v>
      </c>
      <c r="F43" s="102"/>
      <c r="G43" s="61"/>
      <c r="H43" s="59">
        <f>H42/H10</f>
        <v>0.30228261893670727</v>
      </c>
      <c r="I43" s="62"/>
      <c r="J43" s="59">
        <f>J42/J10</f>
        <v>0.32615047493893645</v>
      </c>
      <c r="K43" s="62"/>
      <c r="L43" s="59">
        <f>L42/L10</f>
        <v>0.26002692331235083</v>
      </c>
      <c r="M43" s="58"/>
      <c r="N43" s="58"/>
    </row>
    <row r="44" spans="1:14" x14ac:dyDescent="0.2">
      <c r="F44" s="72"/>
      <c r="G44" s="8"/>
      <c r="H44" s="76"/>
      <c r="I44" s="9"/>
      <c r="J44" s="76"/>
      <c r="K44" s="9"/>
      <c r="L44" s="29"/>
    </row>
    <row r="45" spans="1:14" x14ac:dyDescent="0.2">
      <c r="B45" s="2" t="s">
        <v>37</v>
      </c>
      <c r="F45" s="72"/>
      <c r="G45" s="8"/>
      <c r="H45" s="76"/>
      <c r="I45" s="9"/>
      <c r="J45" s="76"/>
      <c r="K45" s="9"/>
      <c r="L45" s="29"/>
    </row>
    <row r="46" spans="1:14" x14ac:dyDescent="0.2">
      <c r="C46" s="24" t="s">
        <v>38</v>
      </c>
      <c r="E46" s="76">
        <f>22136.74+14520.66</f>
        <v>36657.4</v>
      </c>
      <c r="F46" s="72"/>
      <c r="G46" s="8"/>
      <c r="H46" s="76">
        <f>75+20756.66+6623.78</f>
        <v>27455.439999999999</v>
      </c>
      <c r="I46" s="72"/>
      <c r="J46" s="76">
        <f>24860.11+11695.41</f>
        <v>36555.520000000004</v>
      </c>
      <c r="K46" s="72"/>
      <c r="L46" s="76">
        <f>23822.37+11412.21</f>
        <v>35234.58</v>
      </c>
    </row>
    <row r="47" spans="1:14" x14ac:dyDescent="0.2">
      <c r="C47" s="24" t="s">
        <v>39</v>
      </c>
      <c r="E47" s="76">
        <v>119</v>
      </c>
      <c r="F47" s="72"/>
      <c r="G47" s="8"/>
      <c r="H47" s="76">
        <v>0</v>
      </c>
      <c r="I47" s="72"/>
      <c r="J47" s="76">
        <v>0</v>
      </c>
      <c r="K47" s="72"/>
      <c r="L47" s="76">
        <v>0</v>
      </c>
    </row>
    <row r="48" spans="1:14" x14ac:dyDescent="0.2">
      <c r="C48" s="24" t="s">
        <v>40</v>
      </c>
      <c r="E48" s="76">
        <v>287.8</v>
      </c>
      <c r="F48" s="72"/>
      <c r="G48" s="8"/>
      <c r="H48" s="76">
        <v>3028</v>
      </c>
      <c r="I48" s="72"/>
      <c r="J48" s="76">
        <v>1055.4000000000001</v>
      </c>
      <c r="K48" s="72"/>
      <c r="L48" s="76">
        <v>1513</v>
      </c>
    </row>
    <row r="49" spans="1:14" x14ac:dyDescent="0.2">
      <c r="B49" s="123" t="s">
        <v>41</v>
      </c>
      <c r="C49" s="124"/>
      <c r="E49" s="84">
        <f>SUM(E46:E48)</f>
        <v>37064.200000000004</v>
      </c>
      <c r="F49" s="72"/>
      <c r="G49" s="8"/>
      <c r="H49" s="84">
        <f>SUM(H46:H48)</f>
        <v>30483.439999999999</v>
      </c>
      <c r="I49" s="94"/>
      <c r="J49" s="84">
        <f>SUM(J46:J48)</f>
        <v>37610.920000000006</v>
      </c>
      <c r="K49" s="94"/>
      <c r="L49" s="84">
        <f>SUM(L46:L48)</f>
        <v>36747.58</v>
      </c>
    </row>
    <row r="50" spans="1:14" x14ac:dyDescent="0.2">
      <c r="F50" s="72"/>
      <c r="G50" s="8"/>
      <c r="H50" s="76"/>
      <c r="I50" s="72"/>
      <c r="J50" s="76"/>
      <c r="K50" s="72"/>
      <c r="L50" s="76"/>
    </row>
    <row r="51" spans="1:14" ht="13.5" thickBot="1" x14ac:dyDescent="0.25">
      <c r="B51" s="2" t="s">
        <v>42</v>
      </c>
      <c r="E51" s="85">
        <f>E42-E49</f>
        <v>160739.80999999976</v>
      </c>
      <c r="F51" s="72"/>
      <c r="G51" s="8"/>
      <c r="H51" s="85">
        <f>H42-H49</f>
        <v>132724.90999999986</v>
      </c>
      <c r="I51" s="89"/>
      <c r="J51" s="85">
        <f>J42-J49</f>
        <v>166867.76999999993</v>
      </c>
      <c r="K51" s="89"/>
      <c r="L51" s="85">
        <f>L42-L49</f>
        <v>114312.17999999989</v>
      </c>
    </row>
    <row r="52" spans="1:14" ht="13.5" thickTop="1" x14ac:dyDescent="0.2">
      <c r="A52" s="58"/>
      <c r="B52" s="58"/>
      <c r="C52" s="58"/>
      <c r="D52" s="58"/>
      <c r="E52" s="59">
        <f>E51/E10</f>
        <v>0.25149480701098975</v>
      </c>
      <c r="F52" s="102"/>
      <c r="G52" s="61"/>
      <c r="H52" s="59">
        <f>H51/H10</f>
        <v>0.24582341156527077</v>
      </c>
      <c r="I52" s="62"/>
      <c r="J52" s="59">
        <f>J51/J10</f>
        <v>0.2661597765395563</v>
      </c>
      <c r="K52" s="62"/>
      <c r="L52" s="59">
        <f>L51/L10</f>
        <v>0.19677142650383952</v>
      </c>
      <c r="M52" s="58"/>
      <c r="N52" s="58"/>
    </row>
    <row r="53" spans="1:14" x14ac:dyDescent="0.2">
      <c r="A53" s="58"/>
      <c r="B53" s="58"/>
      <c r="C53" s="58"/>
      <c r="D53" s="58"/>
      <c r="E53" s="59"/>
      <c r="F53" s="102"/>
      <c r="G53" s="61"/>
      <c r="H53" s="59"/>
      <c r="I53" s="62"/>
      <c r="J53" s="59"/>
      <c r="K53" s="62"/>
      <c r="L53" s="59"/>
      <c r="M53" s="58"/>
      <c r="N53" s="58"/>
    </row>
    <row r="54" spans="1:14" x14ac:dyDescent="0.2">
      <c r="A54" s="58"/>
      <c r="B54" s="109" t="s">
        <v>110</v>
      </c>
      <c r="C54" s="58"/>
      <c r="D54" s="58"/>
      <c r="E54" s="59"/>
      <c r="F54" s="102"/>
      <c r="G54" s="61"/>
      <c r="H54" s="59"/>
      <c r="I54" s="62"/>
      <c r="J54" s="59"/>
      <c r="K54" s="62"/>
      <c r="L54" s="59"/>
      <c r="M54" s="58"/>
      <c r="N54" s="58"/>
    </row>
    <row r="55" spans="1:14" x14ac:dyDescent="0.2">
      <c r="C55" s="24" t="s">
        <v>53</v>
      </c>
      <c r="E55" s="76">
        <f>80+876.8</f>
        <v>956.8</v>
      </c>
      <c r="F55" s="72"/>
      <c r="G55" s="8"/>
      <c r="H55" s="76">
        <v>876.8</v>
      </c>
      <c r="I55" s="72"/>
      <c r="J55" s="76">
        <v>624.32000000000005</v>
      </c>
      <c r="K55" s="72"/>
      <c r="L55" s="76">
        <v>569.91999999999996</v>
      </c>
    </row>
    <row r="56" spans="1:14" ht="13.5" thickBot="1" x14ac:dyDescent="0.25">
      <c r="A56" s="58"/>
      <c r="B56" s="109" t="s">
        <v>111</v>
      </c>
      <c r="C56" s="58"/>
      <c r="D56" s="58"/>
      <c r="E56" s="110">
        <f>SUM(E55)</f>
        <v>956.8</v>
      </c>
      <c r="F56" s="102"/>
      <c r="G56" s="61"/>
      <c r="H56" s="110">
        <f>SUM(H55)</f>
        <v>876.8</v>
      </c>
      <c r="I56" s="62"/>
      <c r="J56" s="110">
        <f>SUM(J55)</f>
        <v>624.32000000000005</v>
      </c>
      <c r="K56" s="62"/>
      <c r="L56" s="110">
        <f>SUM(L55)</f>
        <v>569.91999999999996</v>
      </c>
      <c r="M56" s="58"/>
      <c r="N56" s="58"/>
    </row>
    <row r="57" spans="1:14" ht="13.5" thickTop="1" x14ac:dyDescent="0.2">
      <c r="F57" s="72"/>
      <c r="G57" s="8"/>
      <c r="H57" s="76"/>
      <c r="I57" s="9"/>
      <c r="J57" s="76"/>
      <c r="K57" s="9"/>
      <c r="L57" s="76"/>
    </row>
    <row r="58" spans="1:14" x14ac:dyDescent="0.2">
      <c r="B58" s="2" t="s">
        <v>43</v>
      </c>
      <c r="F58" s="72"/>
      <c r="G58" s="8"/>
      <c r="H58" s="76"/>
      <c r="I58" s="9"/>
      <c r="J58" s="76"/>
      <c r="K58" s="9"/>
      <c r="L58" s="29"/>
    </row>
    <row r="59" spans="1:14" ht="25.5" x14ac:dyDescent="0.2">
      <c r="C59" s="5" t="s">
        <v>44</v>
      </c>
      <c r="E59" s="76">
        <v>10931</v>
      </c>
      <c r="F59" s="72"/>
      <c r="G59" s="8"/>
      <c r="H59" s="76">
        <v>0</v>
      </c>
      <c r="I59" s="72"/>
      <c r="J59" s="76">
        <v>5811</v>
      </c>
      <c r="K59" s="72"/>
      <c r="L59" s="76">
        <v>5434</v>
      </c>
    </row>
    <row r="60" spans="1:14" x14ac:dyDescent="0.2">
      <c r="C60" s="24" t="s">
        <v>40</v>
      </c>
      <c r="E60" s="76">
        <v>2340</v>
      </c>
      <c r="F60" s="72"/>
      <c r="G60" s="8"/>
      <c r="H60" s="76">
        <f>600.1+395.69</f>
        <v>995.79</v>
      </c>
      <c r="I60" s="72"/>
      <c r="J60" s="76">
        <v>0.14000000000000001</v>
      </c>
      <c r="K60" s="72"/>
      <c r="L60" s="76">
        <v>308.75</v>
      </c>
    </row>
    <row r="61" spans="1:14" x14ac:dyDescent="0.2">
      <c r="B61" s="123" t="s">
        <v>46</v>
      </c>
      <c r="C61" s="124"/>
      <c r="E61" s="84">
        <f>SUM(E59:E60)</f>
        <v>13271</v>
      </c>
      <c r="F61" s="72"/>
      <c r="G61" s="8"/>
      <c r="H61" s="84">
        <f>SUM(H59:H60)</f>
        <v>995.79</v>
      </c>
      <c r="I61" s="94"/>
      <c r="J61" s="84">
        <f>SUM(J59:J60)</f>
        <v>5811.14</v>
      </c>
      <c r="K61" s="94"/>
      <c r="L61" s="84">
        <f>SUM(L59:L60)</f>
        <v>5742.75</v>
      </c>
    </row>
    <row r="62" spans="1:14" x14ac:dyDescent="0.2">
      <c r="E62" s="74"/>
      <c r="F62" s="72"/>
      <c r="G62" s="8"/>
      <c r="H62" s="74"/>
      <c r="I62" s="94"/>
      <c r="J62" s="74"/>
      <c r="K62" s="94"/>
      <c r="L62" s="74"/>
    </row>
    <row r="63" spans="1:14" x14ac:dyDescent="0.2">
      <c r="B63" s="123" t="s">
        <v>60</v>
      </c>
      <c r="C63" s="124"/>
      <c r="F63" s="72"/>
      <c r="G63" s="8"/>
      <c r="H63" s="76"/>
      <c r="I63" s="72"/>
      <c r="J63" s="76"/>
      <c r="K63" s="72"/>
      <c r="L63" s="76"/>
    </row>
    <row r="64" spans="1:14" x14ac:dyDescent="0.2">
      <c r="C64" s="24" t="s">
        <v>48</v>
      </c>
      <c r="E64" s="76">
        <f>34750+4343.8+1447+51.32</f>
        <v>40592.120000000003</v>
      </c>
      <c r="F64" s="72"/>
      <c r="G64" s="8"/>
      <c r="H64" s="76">
        <f>38738+4842.28</f>
        <v>43580.28</v>
      </c>
      <c r="I64" s="72"/>
      <c r="J64" s="76">
        <f>36458+4557.28+1188</f>
        <v>42203.28</v>
      </c>
      <c r="K64" s="72"/>
      <c r="L64" s="76">
        <f>38320+4790.03+1087</f>
        <v>44197.03</v>
      </c>
    </row>
    <row r="65" spans="2:12" x14ac:dyDescent="0.2">
      <c r="C65" s="24" t="s">
        <v>102</v>
      </c>
      <c r="E65" s="76">
        <v>1657</v>
      </c>
      <c r="F65" s="72"/>
      <c r="G65" s="8"/>
      <c r="H65" s="76">
        <f>1584.75+1264+81.28</f>
        <v>2930.03</v>
      </c>
      <c r="I65" s="72"/>
      <c r="J65" s="76">
        <v>1548</v>
      </c>
      <c r="K65" s="72"/>
      <c r="L65" s="76">
        <v>1568</v>
      </c>
    </row>
    <row r="66" spans="2:12" x14ac:dyDescent="0.2">
      <c r="C66" s="24" t="s">
        <v>50</v>
      </c>
      <c r="E66" s="76">
        <v>3628.8</v>
      </c>
      <c r="F66" s="72"/>
      <c r="G66" s="8"/>
      <c r="H66" s="76">
        <v>3628.8</v>
      </c>
      <c r="I66" s="72"/>
      <c r="J66" s="76">
        <v>3628.8</v>
      </c>
      <c r="K66" s="72"/>
      <c r="L66" s="76">
        <v>3597.46</v>
      </c>
    </row>
    <row r="67" spans="2:12" x14ac:dyDescent="0.2">
      <c r="C67" s="24" t="s">
        <v>51</v>
      </c>
      <c r="E67" s="76">
        <v>353.2</v>
      </c>
      <c r="F67" s="72"/>
      <c r="G67" s="8"/>
      <c r="H67" s="76">
        <v>112</v>
      </c>
      <c r="I67" s="72"/>
      <c r="J67" s="76">
        <v>144</v>
      </c>
      <c r="K67" s="72"/>
      <c r="L67" s="76">
        <v>247.12</v>
      </c>
    </row>
    <row r="68" spans="2:12" x14ac:dyDescent="0.2">
      <c r="C68" s="24" t="s">
        <v>52</v>
      </c>
      <c r="E68" s="76">
        <v>5783.05</v>
      </c>
      <c r="F68" s="72"/>
      <c r="G68" s="8"/>
      <c r="H68" s="76">
        <v>6505.22</v>
      </c>
      <c r="I68" s="72"/>
      <c r="J68" s="76">
        <v>5939.79</v>
      </c>
      <c r="K68" s="72"/>
      <c r="L68" s="76">
        <v>5824.87</v>
      </c>
    </row>
    <row r="69" spans="2:12" x14ac:dyDescent="0.2">
      <c r="C69" s="24" t="s">
        <v>54</v>
      </c>
      <c r="E69" s="76">
        <v>3116.4</v>
      </c>
      <c r="F69" s="72"/>
      <c r="G69" s="8"/>
      <c r="H69" s="76">
        <f>2522+845.6</f>
        <v>3367.6</v>
      </c>
      <c r="I69" s="72"/>
      <c r="J69" s="76">
        <v>2390.1999999999998</v>
      </c>
      <c r="K69" s="72"/>
      <c r="L69" s="76">
        <v>5063.2</v>
      </c>
    </row>
    <row r="70" spans="2:12" ht="25.5" x14ac:dyDescent="0.2">
      <c r="C70" s="5" t="s">
        <v>55</v>
      </c>
      <c r="E70" s="76">
        <v>1325.6</v>
      </c>
      <c r="F70" s="72"/>
      <c r="G70" s="8"/>
      <c r="H70" s="76">
        <v>1718.4</v>
      </c>
      <c r="I70" s="72"/>
      <c r="J70" s="76">
        <v>684.59</v>
      </c>
      <c r="K70" s="72"/>
      <c r="L70" s="76">
        <v>32</v>
      </c>
    </row>
    <row r="71" spans="2:12" x14ac:dyDescent="0.2">
      <c r="C71" s="24" t="s">
        <v>56</v>
      </c>
      <c r="E71" s="76">
        <v>100</v>
      </c>
      <c r="F71" s="72"/>
      <c r="G71" s="8"/>
      <c r="H71" s="76">
        <f>185.6+128.5</f>
        <v>314.10000000000002</v>
      </c>
      <c r="I71" s="72"/>
      <c r="J71" s="76">
        <v>141.25</v>
      </c>
      <c r="K71" s="72"/>
      <c r="L71" s="76">
        <v>355.74</v>
      </c>
    </row>
    <row r="72" spans="2:12" x14ac:dyDescent="0.2">
      <c r="C72" s="24" t="s">
        <v>91</v>
      </c>
      <c r="E72" s="76">
        <v>6236.19</v>
      </c>
      <c r="F72" s="72"/>
      <c r="G72" s="8"/>
      <c r="H72" s="76">
        <v>6464.22</v>
      </c>
      <c r="I72" s="72"/>
      <c r="J72" s="76">
        <v>6177.91</v>
      </c>
      <c r="K72" s="72"/>
      <c r="L72" s="76">
        <f>15458.34+400</f>
        <v>15858.34</v>
      </c>
    </row>
    <row r="73" spans="2:12" x14ac:dyDescent="0.2">
      <c r="C73" s="24" t="s">
        <v>57</v>
      </c>
      <c r="E73" s="76">
        <v>923</v>
      </c>
      <c r="F73" s="72"/>
      <c r="G73" s="8"/>
      <c r="H73" s="76">
        <v>994</v>
      </c>
      <c r="I73" s="72"/>
      <c r="J73" s="76">
        <v>1065</v>
      </c>
      <c r="K73" s="72"/>
      <c r="L73" s="76">
        <v>1207</v>
      </c>
    </row>
    <row r="74" spans="2:12" x14ac:dyDescent="0.2">
      <c r="C74" s="24" t="s">
        <v>74</v>
      </c>
      <c r="E74" s="76">
        <v>0</v>
      </c>
      <c r="F74" s="72"/>
      <c r="G74" s="25"/>
      <c r="H74" s="76">
        <v>0</v>
      </c>
      <c r="I74" s="72"/>
      <c r="J74" s="76">
        <v>20000</v>
      </c>
      <c r="K74" s="72"/>
      <c r="L74" s="76">
        <v>0</v>
      </c>
    </row>
    <row r="75" spans="2:12" x14ac:dyDescent="0.2">
      <c r="C75" s="24" t="s">
        <v>99</v>
      </c>
      <c r="E75" s="76">
        <v>14553</v>
      </c>
      <c r="F75" s="72"/>
      <c r="G75" s="25"/>
      <c r="H75" s="76">
        <v>0</v>
      </c>
      <c r="I75" s="72"/>
      <c r="J75" s="76">
        <v>4650</v>
      </c>
      <c r="K75" s="72"/>
      <c r="L75" s="76">
        <v>0</v>
      </c>
    </row>
    <row r="76" spans="2:12" x14ac:dyDescent="0.2">
      <c r="C76" s="24" t="s">
        <v>40</v>
      </c>
      <c r="E76" s="76">
        <v>71.2</v>
      </c>
      <c r="F76" s="72"/>
      <c r="G76" s="8"/>
      <c r="H76" s="76">
        <v>0</v>
      </c>
      <c r="I76" s="72"/>
      <c r="J76" s="76">
        <v>0</v>
      </c>
      <c r="K76" s="72"/>
      <c r="L76" s="76">
        <f>319.2</f>
        <v>319.2</v>
      </c>
    </row>
    <row r="77" spans="2:12" x14ac:dyDescent="0.2">
      <c r="B77" s="123" t="s">
        <v>59</v>
      </c>
      <c r="C77" s="124"/>
      <c r="E77" s="84">
        <f>SUM(E64:E76)</f>
        <v>78339.560000000012</v>
      </c>
      <c r="F77" s="72"/>
      <c r="G77" s="25"/>
      <c r="H77" s="84">
        <f>SUM(H64:H76)</f>
        <v>69614.649999999994</v>
      </c>
      <c r="I77" s="94"/>
      <c r="J77" s="84">
        <f>SUM(J64:J76)</f>
        <v>88572.819999999992</v>
      </c>
      <c r="K77" s="94"/>
      <c r="L77" s="84">
        <f>SUM(L64:L76)</f>
        <v>78269.959999999992</v>
      </c>
    </row>
    <row r="78" spans="2:12" x14ac:dyDescent="0.2">
      <c r="F78" s="72"/>
      <c r="G78" s="8"/>
      <c r="H78" s="76"/>
      <c r="I78" s="72"/>
      <c r="J78" s="76"/>
      <c r="K78" s="72"/>
      <c r="L78" s="76"/>
    </row>
    <row r="79" spans="2:12" ht="13.5" thickBot="1" x14ac:dyDescent="0.25">
      <c r="B79" s="2" t="s">
        <v>61</v>
      </c>
      <c r="E79" s="77">
        <f>E51-E56+E61-E77</f>
        <v>94714.449999999764</v>
      </c>
      <c r="F79" s="72"/>
      <c r="G79" s="25"/>
      <c r="H79" s="77">
        <f>H51-H56+H61-H77</f>
        <v>63229.249999999884</v>
      </c>
      <c r="I79" s="94"/>
      <c r="J79" s="77">
        <f>J51-J56+J61-J77</f>
        <v>83481.769999999946</v>
      </c>
      <c r="K79" s="94"/>
      <c r="L79" s="77">
        <f>L51-L56+L61-L77</f>
        <v>41215.049999999901</v>
      </c>
    </row>
    <row r="80" spans="2:12" ht="13.5" thickTop="1" x14ac:dyDescent="0.2">
      <c r="E80" s="86"/>
      <c r="F80" s="72"/>
      <c r="G80" s="8"/>
      <c r="H80" s="86"/>
      <c r="I80" s="105"/>
      <c r="J80" s="86"/>
      <c r="K80" s="105"/>
      <c r="L80" s="86"/>
    </row>
    <row r="81" spans="1:12" x14ac:dyDescent="0.2">
      <c r="B81" s="123" t="s">
        <v>112</v>
      </c>
      <c r="C81" s="124"/>
      <c r="F81" s="72"/>
      <c r="G81" s="8"/>
      <c r="H81" s="76"/>
      <c r="I81" s="72"/>
      <c r="J81" s="76"/>
      <c r="K81" s="72"/>
      <c r="L81" s="76"/>
    </row>
    <row r="82" spans="1:12" x14ac:dyDescent="0.2">
      <c r="C82" s="24" t="s">
        <v>64</v>
      </c>
      <c r="E82" s="76">
        <v>0</v>
      </c>
      <c r="F82" s="72"/>
      <c r="G82" s="25"/>
      <c r="H82" s="76">
        <v>0</v>
      </c>
      <c r="I82" s="72"/>
      <c r="J82" s="76">
        <v>0</v>
      </c>
      <c r="K82" s="72"/>
      <c r="L82" s="76">
        <v>0</v>
      </c>
    </row>
    <row r="83" spans="1:12" x14ac:dyDescent="0.2">
      <c r="C83" s="24" t="s">
        <v>103</v>
      </c>
      <c r="E83" s="76">
        <v>0</v>
      </c>
      <c r="F83" s="72"/>
      <c r="G83" s="25"/>
      <c r="H83" s="76">
        <v>4544.05</v>
      </c>
      <c r="I83" s="72"/>
      <c r="J83" s="76">
        <v>0</v>
      </c>
      <c r="K83" s="72"/>
      <c r="L83" s="76">
        <v>0</v>
      </c>
    </row>
    <row r="84" spans="1:12" x14ac:dyDescent="0.2">
      <c r="C84" s="24" t="s">
        <v>114</v>
      </c>
      <c r="E84" s="76">
        <v>0.45</v>
      </c>
      <c r="F84" s="72"/>
      <c r="G84" s="25"/>
      <c r="H84" s="76">
        <v>5.79</v>
      </c>
      <c r="I84" s="72"/>
      <c r="J84" s="76">
        <v>0</v>
      </c>
      <c r="K84" s="72"/>
      <c r="L84" s="76">
        <v>0</v>
      </c>
    </row>
    <row r="85" spans="1:12" x14ac:dyDescent="0.2">
      <c r="C85" s="24" t="s">
        <v>58</v>
      </c>
      <c r="E85" s="76">
        <v>2567.5</v>
      </c>
      <c r="F85" s="72"/>
      <c r="G85" s="8"/>
      <c r="H85" s="76">
        <v>900</v>
      </c>
      <c r="I85" s="72"/>
      <c r="J85" s="76">
        <v>1550</v>
      </c>
      <c r="K85" s="72"/>
      <c r="L85" s="76">
        <v>1310.75</v>
      </c>
    </row>
    <row r="86" spans="1:12" ht="13.5" thickBot="1" x14ac:dyDescent="0.25">
      <c r="B86" s="123" t="s">
        <v>113</v>
      </c>
      <c r="C86" s="124"/>
      <c r="E86" s="77">
        <f>SUM(E82:E85)</f>
        <v>2567.9499999999998</v>
      </c>
      <c r="F86" s="72"/>
      <c r="G86" s="25"/>
      <c r="H86" s="77">
        <f>SUM(H82:H85)</f>
        <v>5449.84</v>
      </c>
      <c r="I86" s="94"/>
      <c r="J86" s="77">
        <f>SUM(J82:J85)</f>
        <v>1550</v>
      </c>
      <c r="K86" s="94"/>
      <c r="L86" s="77">
        <f>SUM(L82:L85)</f>
        <v>1310.75</v>
      </c>
    </row>
    <row r="87" spans="1:12" ht="13.5" thickTop="1" x14ac:dyDescent="0.2">
      <c r="E87" s="74"/>
      <c r="F87" s="72"/>
      <c r="G87" s="8"/>
      <c r="H87" s="74"/>
      <c r="I87" s="94"/>
      <c r="J87" s="74"/>
      <c r="K87" s="94"/>
      <c r="L87" s="74"/>
    </row>
    <row r="88" spans="1:12" ht="13.5" thickBot="1" x14ac:dyDescent="0.25">
      <c r="A88" s="9"/>
      <c r="B88" s="44" t="s">
        <v>67</v>
      </c>
      <c r="D88" s="9"/>
      <c r="E88" s="87">
        <f>E79-E86</f>
        <v>92146.499999999767</v>
      </c>
      <c r="F88" s="72"/>
      <c r="G88" s="25"/>
      <c r="H88" s="87">
        <f>H79-H86</f>
        <v>57779.409999999887</v>
      </c>
      <c r="I88" s="94"/>
      <c r="J88" s="87">
        <f>J79-J86</f>
        <v>81931.769999999946</v>
      </c>
      <c r="K88" s="94"/>
      <c r="L88" s="87">
        <f>L79-L86</f>
        <v>39904.299999999901</v>
      </c>
    </row>
    <row r="89" spans="1:12" ht="13.5" thickTop="1" x14ac:dyDescent="0.2">
      <c r="B89" s="46"/>
      <c r="C89" s="46"/>
      <c r="D89" s="46"/>
      <c r="E89" s="88"/>
      <c r="F89" s="103"/>
      <c r="G89" s="48"/>
      <c r="H89" s="88"/>
      <c r="I89" s="78"/>
      <c r="J89" s="88"/>
      <c r="K89" s="78"/>
      <c r="L89" s="88"/>
    </row>
    <row r="90" spans="1:12" x14ac:dyDescent="0.2">
      <c r="F90" s="72"/>
      <c r="G90" s="67"/>
      <c r="H90" s="76"/>
      <c r="I90" s="72"/>
      <c r="J90" s="76"/>
      <c r="K90" s="72"/>
      <c r="L90" s="76"/>
    </row>
    <row r="91" spans="1:12" ht="15.75" x14ac:dyDescent="0.2">
      <c r="B91" s="16"/>
      <c r="C91" s="66" t="s">
        <v>90</v>
      </c>
      <c r="D91" s="40"/>
      <c r="E91" s="89"/>
      <c r="F91" s="89"/>
      <c r="G91" s="65"/>
      <c r="H91" s="89"/>
      <c r="I91" s="72"/>
      <c r="J91" s="89"/>
      <c r="K91" s="72"/>
      <c r="L91" s="89"/>
    </row>
    <row r="92" spans="1:12" ht="15.75" x14ac:dyDescent="0.2">
      <c r="B92" s="16"/>
      <c r="C92" s="66"/>
      <c r="D92" s="40"/>
      <c r="E92" s="89"/>
      <c r="F92" s="89"/>
      <c r="G92" s="65"/>
      <c r="H92" s="89"/>
      <c r="I92" s="72"/>
      <c r="J92" s="89"/>
      <c r="K92" s="72"/>
      <c r="L92" s="89"/>
    </row>
    <row r="93" spans="1:12" x14ac:dyDescent="0.2">
      <c r="B93" s="2" t="s">
        <v>68</v>
      </c>
      <c r="E93" s="90" t="s">
        <v>0</v>
      </c>
      <c r="F93" s="104"/>
      <c r="G93" s="52"/>
      <c r="H93" s="90" t="s">
        <v>0</v>
      </c>
      <c r="I93" s="104"/>
      <c r="J93" s="90" t="s">
        <v>0</v>
      </c>
      <c r="K93" s="104"/>
      <c r="L93" s="90" t="s">
        <v>0</v>
      </c>
    </row>
    <row r="94" spans="1:12" x14ac:dyDescent="0.2">
      <c r="C94" s="24" t="s">
        <v>69</v>
      </c>
      <c r="E94" s="76">
        <v>1596.5</v>
      </c>
      <c r="F94" s="72"/>
      <c r="G94" s="8"/>
      <c r="H94" s="76">
        <v>551.5</v>
      </c>
      <c r="I94" s="72"/>
      <c r="J94" s="76">
        <v>2514.5</v>
      </c>
      <c r="K94" s="72"/>
      <c r="L94" s="76">
        <v>2697.5</v>
      </c>
    </row>
    <row r="95" spans="1:12" x14ac:dyDescent="0.2">
      <c r="C95" s="4" t="s">
        <v>104</v>
      </c>
      <c r="E95" s="76">
        <v>327710.81</v>
      </c>
      <c r="F95" s="72"/>
      <c r="G95" s="8"/>
      <c r="H95" s="76">
        <v>111570.81</v>
      </c>
      <c r="I95" s="72"/>
      <c r="J95" s="76">
        <v>143913.51</v>
      </c>
      <c r="K95" s="72"/>
      <c r="L95" s="76">
        <v>61461.32</v>
      </c>
    </row>
    <row r="96" spans="1:12" x14ac:dyDescent="0.2">
      <c r="C96" s="4" t="s">
        <v>105</v>
      </c>
      <c r="E96" s="76">
        <v>125633.14</v>
      </c>
      <c r="F96" s="72"/>
      <c r="G96" s="8"/>
      <c r="H96" s="76">
        <v>53051.3</v>
      </c>
      <c r="I96" s="72"/>
      <c r="J96" s="76">
        <v>93014.61</v>
      </c>
      <c r="K96" s="72"/>
      <c r="L96" s="76">
        <v>59002.15</v>
      </c>
    </row>
    <row r="97" spans="2:14" x14ac:dyDescent="0.2">
      <c r="B97" s="2" t="s">
        <v>70</v>
      </c>
      <c r="E97" s="84">
        <f>SUM(E94:E96)</f>
        <v>454940.45</v>
      </c>
      <c r="F97" s="94"/>
      <c r="G97" s="25"/>
      <c r="H97" s="84">
        <f>SUM(H94:H96)</f>
        <v>165173.60999999999</v>
      </c>
      <c r="I97" s="94"/>
      <c r="J97" s="84">
        <f>SUM(J94:J96)</f>
        <v>239442.62</v>
      </c>
      <c r="K97" s="94"/>
      <c r="L97" s="84">
        <f>SUM(L94:L96)</f>
        <v>123160.97</v>
      </c>
    </row>
    <row r="98" spans="2:14" x14ac:dyDescent="0.2">
      <c r="F98" s="72"/>
      <c r="G98" s="8"/>
      <c r="H98" s="76"/>
      <c r="I98" s="72"/>
      <c r="J98" s="76"/>
      <c r="K98" s="72"/>
      <c r="L98" s="76"/>
    </row>
    <row r="99" spans="2:14" x14ac:dyDescent="0.2">
      <c r="B99" s="2" t="s">
        <v>71</v>
      </c>
      <c r="E99" s="91">
        <v>13823</v>
      </c>
      <c r="F99" s="72"/>
      <c r="G99" s="8"/>
      <c r="H99" s="91">
        <v>106587.58</v>
      </c>
      <c r="I99" s="72"/>
      <c r="J99" s="91">
        <v>66459.460000000006</v>
      </c>
      <c r="K99" s="72"/>
      <c r="L99" s="91">
        <v>59989.59</v>
      </c>
    </row>
    <row r="100" spans="2:14" x14ac:dyDescent="0.2">
      <c r="F100" s="72"/>
      <c r="G100" s="8"/>
      <c r="H100" s="76"/>
      <c r="I100" s="72"/>
      <c r="J100" s="76"/>
      <c r="K100" s="72"/>
      <c r="L100" s="76"/>
    </row>
    <row r="101" spans="2:14" x14ac:dyDescent="0.2">
      <c r="B101" s="2" t="s">
        <v>72</v>
      </c>
      <c r="F101" s="72"/>
      <c r="G101" s="8"/>
      <c r="H101" s="76"/>
      <c r="I101" s="72"/>
      <c r="J101" s="76"/>
      <c r="K101" s="72"/>
      <c r="L101" s="76"/>
    </row>
    <row r="102" spans="2:14" x14ac:dyDescent="0.2">
      <c r="C102" s="24" t="s">
        <v>73</v>
      </c>
      <c r="E102" s="76">
        <v>636674.63</v>
      </c>
      <c r="G102" s="8"/>
      <c r="H102" s="76">
        <v>787854.54</v>
      </c>
      <c r="I102" s="72"/>
      <c r="J102" s="76">
        <v>654724.04</v>
      </c>
      <c r="K102" s="72"/>
      <c r="L102" s="76">
        <v>568344.30000000005</v>
      </c>
    </row>
    <row r="103" spans="2:14" x14ac:dyDescent="0.2">
      <c r="C103" s="24" t="s">
        <v>97</v>
      </c>
      <c r="E103" s="92">
        <f>49022.83</f>
        <v>49022.83</v>
      </c>
      <c r="G103" s="8"/>
      <c r="H103" s="92">
        <f>7479.9+81597.11+25537.6+32187.03-0.9</f>
        <v>146800.74</v>
      </c>
      <c r="I103" s="106"/>
      <c r="J103" s="92">
        <f>1983.92+5131.18+3306.86</f>
        <v>10421.960000000001</v>
      </c>
      <c r="K103" s="106"/>
      <c r="L103" s="92">
        <f>68935.16+10877.58+13605.73+1983.92</f>
        <v>95402.39</v>
      </c>
    </row>
    <row r="104" spans="2:14" x14ac:dyDescent="0.2">
      <c r="C104" s="24" t="s">
        <v>76</v>
      </c>
      <c r="E104" s="76">
        <v>309599.88</v>
      </c>
      <c r="G104" s="8"/>
      <c r="H104" s="76">
        <v>330914.59999999998</v>
      </c>
      <c r="I104" s="106"/>
      <c r="J104" s="76">
        <v>326916.53000000003</v>
      </c>
      <c r="K104" s="106"/>
      <c r="L104" s="76">
        <v>327223.45</v>
      </c>
      <c r="N104" s="55"/>
    </row>
    <row r="105" spans="2:14" x14ac:dyDescent="0.2">
      <c r="C105" s="24" t="s">
        <v>75</v>
      </c>
      <c r="E105" s="76">
        <v>-253000</v>
      </c>
      <c r="G105" s="8"/>
      <c r="H105" s="76">
        <v>-253000</v>
      </c>
      <c r="I105" s="106"/>
      <c r="J105" s="76">
        <v>-253000</v>
      </c>
      <c r="K105" s="106"/>
      <c r="L105" s="76">
        <v>-233000</v>
      </c>
    </row>
    <row r="106" spans="2:14" x14ac:dyDescent="0.2">
      <c r="C106" s="24" t="s">
        <v>77</v>
      </c>
      <c r="E106" s="92">
        <v>0</v>
      </c>
      <c r="G106" s="8"/>
      <c r="H106" s="92">
        <v>4290.58</v>
      </c>
      <c r="I106" s="106"/>
      <c r="J106" s="92">
        <v>0</v>
      </c>
      <c r="K106" s="106"/>
      <c r="L106" s="92">
        <v>0</v>
      </c>
    </row>
    <row r="107" spans="2:14" x14ac:dyDescent="0.2">
      <c r="C107" s="24" t="s">
        <v>115</v>
      </c>
      <c r="E107" s="92">
        <v>3100</v>
      </c>
      <c r="F107" s="92"/>
      <c r="G107" s="8"/>
      <c r="H107" s="92">
        <v>3100</v>
      </c>
      <c r="I107" s="72"/>
      <c r="J107" s="92">
        <v>3100</v>
      </c>
      <c r="K107" s="72"/>
      <c r="L107" s="92">
        <v>3100</v>
      </c>
      <c r="N107" s="55"/>
    </row>
    <row r="108" spans="2:14" x14ac:dyDescent="0.2">
      <c r="B108" s="2" t="s">
        <v>78</v>
      </c>
      <c r="E108" s="93">
        <f>SUM(E102:E107)</f>
        <v>745397.34</v>
      </c>
      <c r="F108" s="89"/>
      <c r="G108" s="8"/>
      <c r="H108" s="93">
        <f>SUM(H102:H107)</f>
        <v>1019960.4599999998</v>
      </c>
      <c r="I108" s="72"/>
      <c r="J108" s="93">
        <f>SUM(J102:J107)</f>
        <v>742162.53</v>
      </c>
      <c r="K108" s="72"/>
      <c r="L108" s="93">
        <f>SUM(L102:L107)</f>
        <v>761070.14000000013</v>
      </c>
      <c r="N108" s="55"/>
    </row>
    <row r="109" spans="2:14" x14ac:dyDescent="0.2">
      <c r="G109" s="8"/>
      <c r="H109" s="76"/>
      <c r="I109" s="72"/>
      <c r="J109" s="76"/>
      <c r="K109" s="72"/>
      <c r="L109" s="76"/>
      <c r="N109" s="55"/>
    </row>
    <row r="110" spans="2:14" ht="13.5" thickBot="1" x14ac:dyDescent="0.25">
      <c r="B110" s="2" t="s">
        <v>79</v>
      </c>
      <c r="E110" s="77">
        <f>SUM(E108,E99,E97)</f>
        <v>1214160.79</v>
      </c>
      <c r="F110" s="94"/>
      <c r="G110" s="8"/>
      <c r="H110" s="77">
        <f>SUM(H108,H99,H97)</f>
        <v>1291721.6499999999</v>
      </c>
      <c r="I110" s="94"/>
      <c r="J110" s="77">
        <f>SUM(J108,J99,J97)</f>
        <v>1048064.61</v>
      </c>
      <c r="K110" s="94"/>
      <c r="L110" s="77">
        <f>SUM(L108,L99,L97)</f>
        <v>944220.70000000007</v>
      </c>
      <c r="N110" s="55"/>
    </row>
    <row r="111" spans="2:14" ht="13.5" thickTop="1" x14ac:dyDescent="0.2">
      <c r="E111" s="74"/>
      <c r="F111" s="74"/>
      <c r="G111" s="8"/>
      <c r="H111" s="74"/>
      <c r="I111" s="94"/>
      <c r="J111" s="74"/>
      <c r="K111" s="94"/>
      <c r="L111" s="74"/>
      <c r="N111" s="55"/>
    </row>
    <row r="112" spans="2:14" x14ac:dyDescent="0.2">
      <c r="B112" s="2" t="s">
        <v>80</v>
      </c>
      <c r="G112" s="8"/>
      <c r="H112" s="76"/>
      <c r="I112" s="72"/>
      <c r="J112" s="76"/>
      <c r="K112" s="72"/>
      <c r="L112" s="76"/>
      <c r="N112" s="55"/>
    </row>
    <row r="113" spans="2:14" x14ac:dyDescent="0.2">
      <c r="C113" s="24" t="s">
        <v>92</v>
      </c>
      <c r="E113" s="94">
        <v>99080.79</v>
      </c>
      <c r="F113" s="94"/>
      <c r="G113" s="25"/>
      <c r="H113" s="94">
        <v>107103.82</v>
      </c>
      <c r="I113" s="94"/>
      <c r="J113" s="94">
        <v>100982.96</v>
      </c>
      <c r="K113" s="94"/>
      <c r="L113" s="94">
        <v>79081.59</v>
      </c>
      <c r="N113" s="55"/>
    </row>
    <row r="114" spans="2:14" x14ac:dyDescent="0.2">
      <c r="C114" s="24" t="s">
        <v>106</v>
      </c>
      <c r="E114" s="94">
        <v>0</v>
      </c>
      <c r="F114" s="94"/>
      <c r="G114" s="25"/>
      <c r="H114" s="94">
        <v>162448</v>
      </c>
      <c r="I114" s="94"/>
      <c r="J114" s="94">
        <v>0</v>
      </c>
      <c r="K114" s="94"/>
      <c r="L114" s="94">
        <v>0</v>
      </c>
      <c r="N114" s="55"/>
    </row>
    <row r="115" spans="2:14" x14ac:dyDescent="0.2">
      <c r="C115" s="24" t="s">
        <v>116</v>
      </c>
      <c r="E115" s="94">
        <v>6.24</v>
      </c>
      <c r="F115" s="94"/>
      <c r="G115" s="25"/>
      <c r="H115" s="94">
        <v>5.79</v>
      </c>
      <c r="I115" s="94"/>
      <c r="J115" s="94">
        <v>0</v>
      </c>
      <c r="K115" s="94"/>
      <c r="L115" s="94">
        <v>0</v>
      </c>
      <c r="N115" s="55"/>
    </row>
    <row r="116" spans="2:14" x14ac:dyDescent="0.2">
      <c r="C116" s="24" t="s">
        <v>117</v>
      </c>
      <c r="E116" s="76">
        <f>258.13+3197</f>
        <v>3455.13</v>
      </c>
      <c r="F116" s="94"/>
      <c r="G116" s="25"/>
      <c r="H116" s="76">
        <f>225.13+6250</f>
        <v>6475.13</v>
      </c>
      <c r="I116" s="94"/>
      <c r="J116" s="94">
        <v>0</v>
      </c>
      <c r="K116" s="94"/>
      <c r="L116" s="94">
        <v>0</v>
      </c>
      <c r="N116" s="55"/>
    </row>
    <row r="117" spans="2:14" x14ac:dyDescent="0.2">
      <c r="C117" s="24" t="s">
        <v>118</v>
      </c>
      <c r="E117" s="76">
        <v>6534.17</v>
      </c>
      <c r="F117" s="94"/>
      <c r="G117" s="25"/>
      <c r="H117" s="76">
        <v>8078.93</v>
      </c>
      <c r="I117" s="94"/>
      <c r="J117" s="94">
        <v>0</v>
      </c>
      <c r="K117" s="94"/>
      <c r="L117" s="94">
        <v>0</v>
      </c>
      <c r="N117" s="55"/>
    </row>
    <row r="118" spans="2:14" x14ac:dyDescent="0.2">
      <c r="C118" s="24" t="s">
        <v>122</v>
      </c>
      <c r="E118" s="76">
        <f>257+10846.8</f>
        <v>11103.8</v>
      </c>
      <c r="F118" s="94"/>
      <c r="G118" s="25"/>
      <c r="H118" s="76">
        <v>0</v>
      </c>
      <c r="I118" s="94"/>
      <c r="J118" s="94">
        <v>0</v>
      </c>
      <c r="K118" s="94"/>
      <c r="L118" s="94">
        <v>0</v>
      </c>
      <c r="N118" s="55"/>
    </row>
    <row r="119" spans="2:14" x14ac:dyDescent="0.2">
      <c r="C119" s="24" t="s">
        <v>82</v>
      </c>
      <c r="E119" s="76">
        <v>758.35</v>
      </c>
      <c r="G119" s="8"/>
      <c r="H119" s="76">
        <v>6534.17</v>
      </c>
      <c r="I119" s="72"/>
      <c r="J119" s="76">
        <v>3784.69</v>
      </c>
      <c r="K119" s="72"/>
      <c r="L119" s="76">
        <v>3773.06</v>
      </c>
    </row>
    <row r="120" spans="2:14" x14ac:dyDescent="0.2">
      <c r="B120" s="2" t="s">
        <v>84</v>
      </c>
      <c r="E120" s="84">
        <f>SUM(E113:E119)</f>
        <v>120938.48000000001</v>
      </c>
      <c r="F120" s="94"/>
      <c r="G120" s="25"/>
      <c r="H120" s="84">
        <f>SUM(H113:H119)</f>
        <v>290645.83999999997</v>
      </c>
      <c r="I120" s="94"/>
      <c r="J120" s="84">
        <f>SUM(J113:J119)</f>
        <v>104767.65000000001</v>
      </c>
      <c r="K120" s="94"/>
      <c r="L120" s="84">
        <f>SUM(L113:L119)</f>
        <v>82854.649999999994</v>
      </c>
    </row>
    <row r="121" spans="2:14" x14ac:dyDescent="0.2">
      <c r="E121" s="74"/>
      <c r="F121" s="74"/>
      <c r="G121" s="8"/>
      <c r="H121" s="74"/>
      <c r="I121" s="94"/>
      <c r="J121" s="74"/>
      <c r="K121" s="94"/>
      <c r="L121" s="74"/>
    </row>
    <row r="122" spans="2:14" x14ac:dyDescent="0.2">
      <c r="B122" s="2" t="s">
        <v>85</v>
      </c>
      <c r="G122" s="8"/>
      <c r="H122" s="76"/>
      <c r="I122" s="72"/>
      <c r="J122" s="76"/>
      <c r="K122" s="72"/>
      <c r="L122" s="76"/>
    </row>
    <row r="123" spans="2:14" x14ac:dyDescent="0.2">
      <c r="C123" s="24" t="s">
        <v>86</v>
      </c>
      <c r="E123" s="76">
        <v>1001075.81</v>
      </c>
      <c r="G123" s="8"/>
      <c r="H123" s="76">
        <v>943296.96</v>
      </c>
      <c r="I123" s="72"/>
      <c r="J123" s="76">
        <v>861366.05</v>
      </c>
      <c r="K123" s="72"/>
      <c r="L123" s="76">
        <v>821555.02</v>
      </c>
    </row>
    <row r="124" spans="2:14" x14ac:dyDescent="0.2">
      <c r="C124" s="24" t="s">
        <v>87</v>
      </c>
      <c r="E124" s="76">
        <f>E88</f>
        <v>92146.499999999767</v>
      </c>
      <c r="G124" s="8"/>
      <c r="H124" s="76">
        <f>H88</f>
        <v>57779.409999999887</v>
      </c>
      <c r="I124" s="72"/>
      <c r="J124" s="76">
        <f>J88</f>
        <v>81931.769999999946</v>
      </c>
      <c r="K124" s="72"/>
      <c r="L124" s="76">
        <f>L88</f>
        <v>39904.299999999901</v>
      </c>
    </row>
    <row r="125" spans="2:14" ht="13.5" thickBot="1" x14ac:dyDescent="0.25">
      <c r="B125" s="2" t="s">
        <v>88</v>
      </c>
      <c r="E125" s="77">
        <f>SUM(E123:E124)</f>
        <v>1093222.3099999998</v>
      </c>
      <c r="F125" s="94"/>
      <c r="G125" s="8"/>
      <c r="H125" s="77">
        <f>SUM(H123:H124)</f>
        <v>1001076.3699999999</v>
      </c>
      <c r="I125" s="94"/>
      <c r="J125" s="77">
        <f>SUM(J123:J124)</f>
        <v>943297.82</v>
      </c>
      <c r="K125" s="94"/>
      <c r="L125" s="77">
        <f>SUM(L123:L124)</f>
        <v>861459.32</v>
      </c>
    </row>
    <row r="126" spans="2:14" ht="13.5" thickTop="1" x14ac:dyDescent="0.2">
      <c r="E126" s="74"/>
      <c r="F126" s="74"/>
      <c r="G126" s="8"/>
      <c r="H126" s="74"/>
      <c r="I126" s="94"/>
      <c r="J126" s="74"/>
      <c r="K126" s="94"/>
      <c r="L126" s="74"/>
    </row>
    <row r="127" spans="2:14" ht="13.5" thickBot="1" x14ac:dyDescent="0.25">
      <c r="B127" s="2" t="s">
        <v>89</v>
      </c>
      <c r="E127" s="77">
        <f>E120+E125</f>
        <v>1214160.7899999998</v>
      </c>
      <c r="F127" s="94"/>
      <c r="G127" s="8"/>
      <c r="H127" s="77">
        <f>H120+H125</f>
        <v>1291722.21</v>
      </c>
      <c r="I127" s="94"/>
      <c r="J127" s="77">
        <f>J120+J125</f>
        <v>1048065.47</v>
      </c>
      <c r="K127" s="94"/>
      <c r="L127" s="77">
        <f>L120+L125</f>
        <v>944313.97</v>
      </c>
    </row>
    <row r="128" spans="2:14" ht="13.5" thickTop="1" x14ac:dyDescent="0.2">
      <c r="E128" s="74"/>
      <c r="F128" s="74"/>
      <c r="G128" s="8"/>
      <c r="H128" s="74"/>
      <c r="I128" s="41"/>
      <c r="J128" s="74"/>
      <c r="K128" s="41"/>
      <c r="L128" s="20"/>
    </row>
    <row r="129" spans="8:11" x14ac:dyDescent="0.2">
      <c r="H129" s="76"/>
      <c r="I129" s="9"/>
      <c r="K129" s="9"/>
    </row>
  </sheetData>
  <mergeCells count="7">
    <mergeCell ref="B86:C86"/>
    <mergeCell ref="B39:C39"/>
    <mergeCell ref="B49:C49"/>
    <mergeCell ref="B61:C61"/>
    <mergeCell ref="B63:C63"/>
    <mergeCell ref="B77:C77"/>
    <mergeCell ref="B81:C8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A123" zoomScaleNormal="100" workbookViewId="0">
      <selection activeCell="A127" sqref="A127:XFD138"/>
    </sheetView>
  </sheetViews>
  <sheetFormatPr defaultRowHeight="12.75" x14ac:dyDescent="0.2"/>
  <cols>
    <col min="1" max="1" width="6.7109375" style="4" customWidth="1"/>
    <col min="2" max="2" width="3.85546875" style="4" customWidth="1"/>
    <col min="3" max="3" width="45.140625" style="4" customWidth="1"/>
    <col min="4" max="4" width="1.7109375" style="4" customWidth="1"/>
    <col min="5" max="5" width="10" style="76" customWidth="1"/>
    <col min="6" max="6" width="10.140625" style="76" bestFit="1" customWidth="1"/>
    <col min="7" max="7" width="1.7109375" style="4" customWidth="1"/>
    <col min="8" max="8" width="10" style="4" customWidth="1"/>
    <col min="9" max="9" width="1.7109375" style="4" customWidth="1"/>
    <col min="10" max="10" width="10" style="4" customWidth="1"/>
    <col min="11" max="11" width="1.7109375" style="4" customWidth="1"/>
    <col min="12" max="12" width="10" style="4" customWidth="1"/>
    <col min="13" max="13" width="1.7109375" style="4" customWidth="1"/>
    <col min="14" max="14" width="9.140625" style="4"/>
  </cols>
  <sheetData>
    <row r="1" spans="1:12" x14ac:dyDescent="0.2">
      <c r="C1" s="15" t="s">
        <v>107</v>
      </c>
      <c r="D1" s="9"/>
      <c r="E1" s="72"/>
      <c r="F1" s="72"/>
      <c r="G1" s="9"/>
      <c r="H1" s="9"/>
      <c r="J1" s="9"/>
    </row>
    <row r="2" spans="1:12" ht="16.5" thickBot="1" x14ac:dyDescent="0.25">
      <c r="B2" s="16"/>
      <c r="C2" s="17" t="s">
        <v>108</v>
      </c>
      <c r="D2" s="18"/>
      <c r="E2" s="73"/>
      <c r="F2" s="73"/>
      <c r="G2" s="18"/>
      <c r="H2" s="40"/>
      <c r="I2" s="9"/>
      <c r="J2" s="40"/>
      <c r="K2" s="9"/>
      <c r="L2" s="9"/>
    </row>
    <row r="3" spans="1:12" ht="13.5" thickTop="1" x14ac:dyDescent="0.2">
      <c r="B3" s="20"/>
      <c r="C3" s="20"/>
      <c r="D3" s="20"/>
      <c r="E3" s="74"/>
      <c r="F3" s="74"/>
      <c r="H3" s="9"/>
      <c r="I3" s="9"/>
      <c r="J3" s="9"/>
      <c r="K3" s="9"/>
      <c r="L3" s="9"/>
    </row>
    <row r="4" spans="1:12" x14ac:dyDescent="0.2">
      <c r="B4" s="2" t="s">
        <v>7</v>
      </c>
      <c r="E4" s="75" t="s">
        <v>8</v>
      </c>
      <c r="F4" s="90"/>
      <c r="G4" s="8"/>
      <c r="H4" s="23">
        <v>2019</v>
      </c>
      <c r="I4" s="9"/>
      <c r="J4" s="23">
        <v>2018</v>
      </c>
      <c r="K4" s="9"/>
      <c r="L4" s="23">
        <v>2017</v>
      </c>
    </row>
    <row r="5" spans="1:12" x14ac:dyDescent="0.2">
      <c r="C5" s="24" t="s">
        <v>6</v>
      </c>
      <c r="E5" s="76">
        <f>445694.43+1163.89</f>
        <v>446858.32</v>
      </c>
      <c r="G5" s="8"/>
      <c r="H5" s="76">
        <f>475975.12+2087.12</f>
        <v>478062.24</v>
      </c>
      <c r="I5" s="72"/>
      <c r="J5" s="76">
        <f>434458.88+1417.56+3131.16</f>
        <v>439007.6</v>
      </c>
      <c r="K5" s="72"/>
      <c r="L5" s="76">
        <f>380811.74+1105.84+1819.3</f>
        <v>383736.88</v>
      </c>
    </row>
    <row r="6" spans="1:12" x14ac:dyDescent="0.2">
      <c r="C6" s="24" t="s">
        <v>5</v>
      </c>
      <c r="E6" s="76">
        <v>32649.8</v>
      </c>
      <c r="G6" s="8"/>
      <c r="H6" s="76">
        <v>46635.41</v>
      </c>
      <c r="I6" s="72"/>
      <c r="J6" s="76">
        <v>47312.97</v>
      </c>
      <c r="K6" s="72"/>
      <c r="L6" s="76">
        <v>50911.94</v>
      </c>
    </row>
    <row r="7" spans="1:12" x14ac:dyDescent="0.2">
      <c r="C7" s="24" t="s">
        <v>4</v>
      </c>
      <c r="E7" s="76">
        <v>60707.21</v>
      </c>
      <c r="G7" s="25"/>
      <c r="H7" s="76">
        <v>102279.52</v>
      </c>
      <c r="I7" s="72"/>
      <c r="J7" s="76">
        <v>94669.64</v>
      </c>
      <c r="K7" s="72"/>
      <c r="L7" s="76">
        <v>82560.479999999996</v>
      </c>
    </row>
    <row r="8" spans="1:12" x14ac:dyDescent="0.2">
      <c r="C8" s="24" t="s">
        <v>63</v>
      </c>
      <c r="E8" s="76">
        <f>-0.8+0.24</f>
        <v>-0.56000000000000005</v>
      </c>
      <c r="G8" s="25"/>
      <c r="H8" s="76">
        <v>-0.86</v>
      </c>
      <c r="I8" s="72"/>
      <c r="J8" s="76">
        <v>-93.02</v>
      </c>
      <c r="K8" s="72"/>
      <c r="L8" s="76">
        <v>-68.040000000000006</v>
      </c>
    </row>
    <row r="9" spans="1:12" x14ac:dyDescent="0.2">
      <c r="C9" s="27" t="s">
        <v>109</v>
      </c>
      <c r="E9" s="76">
        <f>-159.65-135.95</f>
        <v>-295.60000000000002</v>
      </c>
      <c r="G9" s="8"/>
      <c r="H9" s="76">
        <v>-31.31</v>
      </c>
      <c r="I9" s="72"/>
      <c r="J9" s="76">
        <v>-51.29</v>
      </c>
      <c r="K9" s="72"/>
      <c r="L9" s="76">
        <v>-173.89</v>
      </c>
    </row>
    <row r="10" spans="1:12" ht="13.5" thickBot="1" x14ac:dyDescent="0.25">
      <c r="A10" s="12"/>
      <c r="B10" s="2" t="s">
        <v>9</v>
      </c>
      <c r="E10" s="77">
        <f>E5+E6+E7+E9</f>
        <v>539919.73</v>
      </c>
      <c r="F10" s="94"/>
      <c r="G10" s="25"/>
      <c r="H10" s="77">
        <f>H5+H6+H7+H9</f>
        <v>626945.86</v>
      </c>
      <c r="I10" s="72"/>
      <c r="J10" s="77">
        <f>J5+J6+J7+J9</f>
        <v>580938.91999999993</v>
      </c>
      <c r="K10" s="72"/>
      <c r="L10" s="77">
        <f>L5+L6+L7+L9</f>
        <v>517035.41</v>
      </c>
    </row>
    <row r="11" spans="1:12" ht="13.5" thickTop="1" x14ac:dyDescent="0.2">
      <c r="A11" s="12"/>
      <c r="B11" s="2"/>
      <c r="E11" s="78"/>
      <c r="F11" s="78"/>
      <c r="G11" s="25"/>
      <c r="H11" s="78"/>
      <c r="I11" s="26"/>
      <c r="J11" s="30"/>
      <c r="K11" s="26"/>
      <c r="L11" s="30"/>
    </row>
    <row r="12" spans="1:12" ht="33.75" x14ac:dyDescent="0.2">
      <c r="B12" s="2" t="s">
        <v>10</v>
      </c>
      <c r="E12" s="79" t="s">
        <v>25</v>
      </c>
      <c r="F12" s="96" t="s">
        <v>33</v>
      </c>
      <c r="G12" s="8"/>
      <c r="H12" s="79" t="s">
        <v>25</v>
      </c>
      <c r="I12" s="9"/>
      <c r="J12" s="3" t="s">
        <v>25</v>
      </c>
      <c r="K12" s="9"/>
      <c r="L12" s="3" t="s">
        <v>25</v>
      </c>
    </row>
    <row r="13" spans="1:12" x14ac:dyDescent="0.2">
      <c r="C13" s="4" t="s">
        <v>3</v>
      </c>
      <c r="E13" s="76">
        <v>218932.46</v>
      </c>
      <c r="F13" s="97"/>
      <c r="G13" s="8"/>
      <c r="H13" s="76">
        <v>285304.33</v>
      </c>
      <c r="I13" s="72"/>
      <c r="J13" s="76">
        <v>217034.78</v>
      </c>
      <c r="K13" s="72"/>
      <c r="L13" s="76">
        <v>146904.39000000001</v>
      </c>
    </row>
    <row r="14" spans="1:12" x14ac:dyDescent="0.2">
      <c r="C14" s="24" t="s">
        <v>11</v>
      </c>
      <c r="E14" s="76">
        <v>73452.42</v>
      </c>
      <c r="F14" s="97">
        <f>32273.77-3258.78-917.46</f>
        <v>28097.530000000002</v>
      </c>
      <c r="G14" s="8"/>
      <c r="H14" s="76">
        <v>50108.28</v>
      </c>
      <c r="I14" s="72"/>
      <c r="J14" s="76">
        <v>10473.65</v>
      </c>
      <c r="K14" s="72"/>
      <c r="L14" s="76">
        <v>42828.69</v>
      </c>
    </row>
    <row r="15" spans="1:12" x14ac:dyDescent="0.2">
      <c r="C15" s="24" t="s">
        <v>12</v>
      </c>
      <c r="E15" s="76">
        <v>47086.38</v>
      </c>
      <c r="F15" s="97">
        <f>3055.1+5653.28+2290.63+2121.81+33169.52</f>
        <v>46290.34</v>
      </c>
      <c r="G15" s="25"/>
      <c r="H15" s="76">
        <v>176761.72</v>
      </c>
      <c r="I15" s="72"/>
      <c r="J15" s="76">
        <v>102703.7</v>
      </c>
      <c r="K15" s="72"/>
      <c r="L15" s="76">
        <v>103407.69</v>
      </c>
    </row>
    <row r="16" spans="1:12" x14ac:dyDescent="0.2">
      <c r="C16" s="24" t="s">
        <v>13</v>
      </c>
      <c r="E16" s="76">
        <v>7828.99</v>
      </c>
      <c r="F16" s="97"/>
      <c r="G16" s="25"/>
      <c r="H16" s="76">
        <v>8415.4</v>
      </c>
      <c r="I16" s="72"/>
      <c r="J16" s="76">
        <v>0</v>
      </c>
      <c r="K16" s="72"/>
      <c r="L16" s="76">
        <f>4517.43</f>
        <v>4517.43</v>
      </c>
    </row>
    <row r="17" spans="1:14" x14ac:dyDescent="0.2">
      <c r="C17" s="24" t="s">
        <v>14</v>
      </c>
      <c r="E17" s="76">
        <v>73289.679999999993</v>
      </c>
      <c r="F17" s="97">
        <v>1230.97</v>
      </c>
      <c r="G17" s="25"/>
      <c r="H17" s="76">
        <v>0</v>
      </c>
      <c r="I17" s="72"/>
      <c r="J17" s="76">
        <v>32099.64</v>
      </c>
      <c r="K17" s="72"/>
      <c r="L17" s="76">
        <v>0</v>
      </c>
    </row>
    <row r="18" spans="1:14" x14ac:dyDescent="0.2">
      <c r="C18" s="24" t="s">
        <v>15</v>
      </c>
      <c r="E18" s="76">
        <v>10705.74</v>
      </c>
      <c r="F18" s="97">
        <v>7012.5</v>
      </c>
      <c r="G18" s="25"/>
      <c r="H18" s="76">
        <v>6941.85</v>
      </c>
      <c r="I18" s="72"/>
      <c r="J18" s="76">
        <v>0</v>
      </c>
      <c r="K18" s="72"/>
      <c r="L18" s="76">
        <v>10576.59</v>
      </c>
    </row>
    <row r="19" spans="1:14" x14ac:dyDescent="0.2">
      <c r="C19" s="24" t="s">
        <v>16</v>
      </c>
      <c r="E19" s="76">
        <v>1553</v>
      </c>
      <c r="F19" s="97">
        <v>2703.14</v>
      </c>
      <c r="G19" s="25"/>
      <c r="H19" s="76">
        <v>0</v>
      </c>
      <c r="I19" s="72"/>
      <c r="J19" s="76">
        <v>0</v>
      </c>
      <c r="K19" s="72"/>
      <c r="L19" s="76">
        <v>9296.94</v>
      </c>
    </row>
    <row r="20" spans="1:14" x14ac:dyDescent="0.2">
      <c r="C20" s="24" t="s">
        <v>101</v>
      </c>
      <c r="E20" s="76">
        <v>30294.32</v>
      </c>
      <c r="F20" s="97"/>
      <c r="G20" s="25"/>
      <c r="H20" s="76"/>
      <c r="I20" s="72"/>
      <c r="J20" s="76"/>
      <c r="K20" s="72"/>
      <c r="L20" s="76"/>
    </row>
    <row r="21" spans="1:14" x14ac:dyDescent="0.2">
      <c r="C21" s="24" t="s">
        <v>17</v>
      </c>
      <c r="E21" s="76">
        <v>0</v>
      </c>
      <c r="F21" s="97"/>
      <c r="G21" s="25"/>
      <c r="H21" s="76">
        <v>26741.73</v>
      </c>
      <c r="I21" s="72"/>
      <c r="J21" s="76">
        <v>0</v>
      </c>
      <c r="K21" s="72"/>
      <c r="L21" s="76">
        <v>32990.589999999997</v>
      </c>
    </row>
    <row r="22" spans="1:14" x14ac:dyDescent="0.2">
      <c r="C22" s="24" t="s">
        <v>18</v>
      </c>
      <c r="E22" s="76">
        <v>8547.82</v>
      </c>
      <c r="F22" s="98">
        <v>2683.45</v>
      </c>
      <c r="G22" s="25"/>
      <c r="H22" s="76">
        <v>11763.4</v>
      </c>
      <c r="I22" s="72"/>
      <c r="J22" s="76">
        <v>12168.53</v>
      </c>
      <c r="K22" s="72"/>
      <c r="L22" s="76">
        <v>10358.549999999999</v>
      </c>
    </row>
    <row r="23" spans="1:14" x14ac:dyDescent="0.2">
      <c r="C23" s="24" t="s">
        <v>19</v>
      </c>
      <c r="E23" s="76">
        <v>40611.97</v>
      </c>
      <c r="F23" s="98">
        <f>2128.56+3693.11+22122.19+3279.05+2311.29+6374.67</f>
        <v>39908.869999999995</v>
      </c>
      <c r="G23" s="25"/>
      <c r="H23" s="76">
        <v>30746.06</v>
      </c>
      <c r="I23" s="72"/>
      <c r="J23" s="76">
        <v>27544.45</v>
      </c>
      <c r="K23" s="72"/>
      <c r="L23" s="76">
        <f>4481.56+20011.05</f>
        <v>24492.61</v>
      </c>
    </row>
    <row r="24" spans="1:14" x14ac:dyDescent="0.2">
      <c r="C24" s="24" t="s">
        <v>21</v>
      </c>
      <c r="E24" s="76">
        <v>20615.41</v>
      </c>
      <c r="F24" s="98"/>
      <c r="G24" s="25"/>
      <c r="H24" s="76">
        <v>26948.3</v>
      </c>
      <c r="I24" s="72"/>
      <c r="J24" s="76">
        <v>0</v>
      </c>
      <c r="K24" s="72"/>
      <c r="L24" s="76">
        <v>0</v>
      </c>
    </row>
    <row r="25" spans="1:14" x14ac:dyDescent="0.2">
      <c r="C25" s="24" t="s">
        <v>22</v>
      </c>
      <c r="E25" s="76">
        <v>123368.54</v>
      </c>
      <c r="F25" s="98">
        <v>79922.83</v>
      </c>
      <c r="G25" s="25"/>
      <c r="H25" s="76">
        <v>96364.49</v>
      </c>
      <c r="I25" s="72"/>
      <c r="J25" s="76">
        <v>102418.51</v>
      </c>
      <c r="K25" s="72"/>
      <c r="L25" s="76">
        <v>100351.06</v>
      </c>
    </row>
    <row r="26" spans="1:14" x14ac:dyDescent="0.2">
      <c r="C26" s="24" t="s">
        <v>23</v>
      </c>
      <c r="E26" s="76">
        <v>0</v>
      </c>
      <c r="F26" s="98"/>
      <c r="G26" s="25"/>
      <c r="H26" s="76">
        <v>0</v>
      </c>
      <c r="I26" s="72"/>
      <c r="J26" s="76">
        <v>24313.38</v>
      </c>
      <c r="K26" s="72"/>
      <c r="L26" s="76">
        <v>71028.429999999993</v>
      </c>
    </row>
    <row r="27" spans="1:14" x14ac:dyDescent="0.2">
      <c r="C27" s="24" t="s">
        <v>26</v>
      </c>
      <c r="E27" s="76">
        <f>5682.92+14680+22232.75+6363.33+1398.87+13313+12719.75</f>
        <v>76390.62</v>
      </c>
      <c r="F27" s="98">
        <f>271.83+3258.78+917.46+599.38+6671.85+1520.95+650.85+1795.07+1118.54+2069.78+1277.47+776.84+12142.32</f>
        <v>33071.119999999995</v>
      </c>
      <c r="G27" s="8"/>
      <c r="H27" s="76">
        <f>2669.66+2650+36468.65+2036.69+8789+10451.14</f>
        <v>63065.14</v>
      </c>
      <c r="I27" s="72"/>
      <c r="J27" s="76">
        <f>8908.21+29494.35+7665+916.4+8789</f>
        <v>55772.959999999999</v>
      </c>
      <c r="K27" s="72"/>
      <c r="L27" s="76">
        <f>2865+21340.13+2728+40+5008.4+50</f>
        <v>32031.53</v>
      </c>
    </row>
    <row r="28" spans="1:14" x14ac:dyDescent="0.2">
      <c r="C28" s="24" t="s">
        <v>27</v>
      </c>
      <c r="E28" s="76">
        <f>2025+50+50+165.98+100+50+256+100+4227.58+4758.62</f>
        <v>11783.18</v>
      </c>
      <c r="F28" s="98"/>
      <c r="G28" s="8"/>
      <c r="H28" s="76">
        <f>50+100+50+256+256+50+6872.04+4076.69</f>
        <v>11710.73</v>
      </c>
      <c r="I28" s="72"/>
      <c r="J28" s="76">
        <f>40+275+150+1150.4+50</f>
        <v>1665.4</v>
      </c>
      <c r="K28" s="72"/>
      <c r="L28" s="76">
        <f>40+2158.94+50+150+50+256</f>
        <v>2704.94</v>
      </c>
    </row>
    <row r="29" spans="1:14" ht="25.5" x14ac:dyDescent="0.2">
      <c r="C29" s="5" t="s">
        <v>28</v>
      </c>
      <c r="E29" s="76">
        <f>358.1+3227.5+1217.9+1249</f>
        <v>6052.5</v>
      </c>
      <c r="F29" s="98"/>
      <c r="G29" s="8"/>
      <c r="H29" s="76">
        <f>373.3+23.1+1792.5+1224</f>
        <v>3412.9</v>
      </c>
      <c r="I29" s="72"/>
      <c r="J29" s="76">
        <f>524.4+1573.5+1217+2470</f>
        <v>5784.9</v>
      </c>
      <c r="K29" s="72"/>
      <c r="L29" s="76">
        <f>756.4+1062+2795+133.3+5951</f>
        <v>10697.7</v>
      </c>
    </row>
    <row r="30" spans="1:14" x14ac:dyDescent="0.2">
      <c r="C30" s="24" t="s">
        <v>29</v>
      </c>
      <c r="E30" s="76">
        <v>249.6</v>
      </c>
      <c r="F30" s="99"/>
      <c r="G30" s="8"/>
      <c r="H30" s="76">
        <v>247.6</v>
      </c>
      <c r="I30" s="72"/>
      <c r="J30" s="76">
        <f>32+91.6</f>
        <v>123.6</v>
      </c>
      <c r="K30" s="72"/>
      <c r="L30" s="76">
        <v>592.20000000000005</v>
      </c>
    </row>
    <row r="31" spans="1:14" x14ac:dyDescent="0.2">
      <c r="B31" s="2" t="s">
        <v>30</v>
      </c>
      <c r="E31" s="80">
        <f>SUM(E13:E30)</f>
        <v>750762.63000000012</v>
      </c>
      <c r="G31" s="25"/>
      <c r="H31" s="80">
        <f>SUM(H13:H30)</f>
        <v>798531.93</v>
      </c>
      <c r="I31" s="94"/>
      <c r="J31" s="80">
        <f>SUM(J13:J30)</f>
        <v>592103.5</v>
      </c>
      <c r="K31" s="94"/>
      <c r="L31" s="80">
        <f>SUM(L13:L30)</f>
        <v>602779.33999999985</v>
      </c>
    </row>
    <row r="32" spans="1:14" x14ac:dyDescent="0.2">
      <c r="A32" s="63"/>
      <c r="B32" s="63"/>
      <c r="C32" s="24" t="s">
        <v>24</v>
      </c>
      <c r="D32" s="24"/>
      <c r="E32" s="81">
        <f>-F32</f>
        <v>-240920.75</v>
      </c>
      <c r="F32" s="98">
        <f>SUM(F13:F30)</f>
        <v>240920.75</v>
      </c>
      <c r="G32" s="64"/>
      <c r="H32" s="81">
        <v>-289685.02</v>
      </c>
      <c r="I32" s="81"/>
      <c r="J32" s="81">
        <f>-6046.16-9641.48-49381.16-12044.05-35656.17-82782.58</f>
        <v>-195551.6</v>
      </c>
      <c r="K32" s="81"/>
      <c r="L32" s="81">
        <f>-3409.9-4657.65-3181.01-1918.24-50376.39-24691.39-30701.45-78353.81</f>
        <v>-197289.84</v>
      </c>
      <c r="M32" s="63"/>
      <c r="N32" s="63"/>
    </row>
    <row r="33" spans="1:14" x14ac:dyDescent="0.2">
      <c r="B33" s="2" t="s">
        <v>31</v>
      </c>
      <c r="E33" s="78">
        <f>E31+E32</f>
        <v>509841.88000000012</v>
      </c>
      <c r="F33" s="100"/>
      <c r="G33" s="25"/>
      <c r="H33" s="78">
        <f>H31+H32</f>
        <v>508846.91000000003</v>
      </c>
      <c r="I33" s="94"/>
      <c r="J33" s="78">
        <f>J31+J32</f>
        <v>396551.9</v>
      </c>
      <c r="K33" s="94"/>
      <c r="L33" s="78">
        <f>L31+L32</f>
        <v>405489.49999999988</v>
      </c>
    </row>
    <row r="34" spans="1:14" x14ac:dyDescent="0.2">
      <c r="F34" s="101"/>
      <c r="G34" s="8"/>
      <c r="H34" s="76"/>
      <c r="I34" s="72"/>
      <c r="J34" s="76"/>
      <c r="K34" s="72"/>
      <c r="L34" s="76"/>
    </row>
    <row r="35" spans="1:14" x14ac:dyDescent="0.2">
      <c r="B35" s="2" t="s">
        <v>34</v>
      </c>
      <c r="E35" s="82">
        <v>-133130.5</v>
      </c>
      <c r="F35" s="72"/>
      <c r="G35" s="25"/>
      <c r="H35" s="82">
        <v>-86379.74</v>
      </c>
      <c r="I35" s="105"/>
      <c r="J35" s="82">
        <v>33327.26</v>
      </c>
      <c r="K35" s="105"/>
      <c r="L35" s="82">
        <v>-31232.57</v>
      </c>
    </row>
    <row r="36" spans="1:14" x14ac:dyDescent="0.2">
      <c r="F36" s="72"/>
      <c r="G36" s="8"/>
      <c r="H36" s="76"/>
      <c r="I36" s="72"/>
      <c r="J36" s="76"/>
      <c r="K36" s="72"/>
      <c r="L36" s="76"/>
    </row>
    <row r="37" spans="1:14" ht="13.5" thickBot="1" x14ac:dyDescent="0.25">
      <c r="B37" s="123" t="s">
        <v>36</v>
      </c>
      <c r="C37" s="123"/>
      <c r="E37" s="83">
        <f>E33+E35</f>
        <v>376711.38000000012</v>
      </c>
      <c r="F37" s="72"/>
      <c r="G37" s="8"/>
      <c r="H37" s="83">
        <f>H33+H35</f>
        <v>422467.17000000004</v>
      </c>
      <c r="I37" s="105"/>
      <c r="J37" s="83">
        <f>J33+J35</f>
        <v>429879.16000000003</v>
      </c>
      <c r="K37" s="105"/>
      <c r="L37" s="83">
        <f>L33+L35</f>
        <v>374256.92999999988</v>
      </c>
    </row>
    <row r="38" spans="1:14" ht="13.5" thickTop="1" x14ac:dyDescent="0.2">
      <c r="F38" s="72"/>
      <c r="G38" s="8"/>
      <c r="H38" s="76"/>
      <c r="I38" s="72"/>
      <c r="J38" s="76"/>
      <c r="K38" s="72"/>
      <c r="L38" s="76"/>
    </row>
    <row r="39" spans="1:14" x14ac:dyDescent="0.2">
      <c r="F39" s="72"/>
      <c r="G39" s="8"/>
      <c r="H39" s="76"/>
      <c r="I39" s="72"/>
      <c r="J39" s="76"/>
      <c r="K39" s="72"/>
      <c r="L39" s="76"/>
    </row>
    <row r="40" spans="1:14" x14ac:dyDescent="0.2">
      <c r="B40" s="2" t="s">
        <v>35</v>
      </c>
      <c r="E40" s="84">
        <f>E10-E37</f>
        <v>163208.34999999986</v>
      </c>
      <c r="F40" s="72"/>
      <c r="G40" s="8"/>
      <c r="H40" s="84">
        <f>H10-H37</f>
        <v>204478.68999999994</v>
      </c>
      <c r="I40" s="94"/>
      <c r="J40" s="84">
        <f>J10-J37</f>
        <v>151059.75999999989</v>
      </c>
      <c r="K40" s="94"/>
      <c r="L40" s="84">
        <f>L10-L37</f>
        <v>142778.4800000001</v>
      </c>
    </row>
    <row r="41" spans="1:14" x14ac:dyDescent="0.2">
      <c r="A41" s="58"/>
      <c r="B41" s="58"/>
      <c r="C41" s="58"/>
      <c r="D41" s="58"/>
      <c r="E41" s="59">
        <f>E40/E10</f>
        <v>0.30228261893670727</v>
      </c>
      <c r="F41" s="102"/>
      <c r="G41" s="61"/>
      <c r="H41" s="59">
        <f>H40/H10</f>
        <v>0.32615047493893645</v>
      </c>
      <c r="I41" s="62"/>
      <c r="J41" s="59">
        <f>J40/J10</f>
        <v>0.26002692331235083</v>
      </c>
      <c r="K41" s="62"/>
      <c r="L41" s="59">
        <f>L40/L10</f>
        <v>0.27614835896829604</v>
      </c>
      <c r="M41" s="58"/>
      <c r="N41" s="58"/>
    </row>
    <row r="42" spans="1:14" x14ac:dyDescent="0.2">
      <c r="F42" s="72"/>
      <c r="G42" s="8"/>
      <c r="H42" s="76"/>
      <c r="I42" s="9"/>
      <c r="J42" s="29"/>
      <c r="K42" s="9"/>
      <c r="L42" s="29"/>
    </row>
    <row r="43" spans="1:14" x14ac:dyDescent="0.2">
      <c r="B43" s="2" t="s">
        <v>37</v>
      </c>
      <c r="F43" s="72"/>
      <c r="G43" s="8"/>
      <c r="H43" s="76"/>
      <c r="I43" s="9"/>
      <c r="J43" s="29"/>
      <c r="K43" s="9"/>
      <c r="L43" s="29"/>
    </row>
    <row r="44" spans="1:14" x14ac:dyDescent="0.2">
      <c r="C44" s="24" t="s">
        <v>38</v>
      </c>
      <c r="E44" s="76">
        <f>75+20756.66+6623.78</f>
        <v>27455.439999999999</v>
      </c>
      <c r="F44" s="72"/>
      <c r="G44" s="8"/>
      <c r="H44" s="76">
        <f>24860.11+11695.41</f>
        <v>36555.520000000004</v>
      </c>
      <c r="I44" s="72"/>
      <c r="J44" s="76">
        <f>23822.37+11412.21</f>
        <v>35234.58</v>
      </c>
      <c r="K44" s="72"/>
      <c r="L44" s="76">
        <f>19538.22+6122.08</f>
        <v>25660.300000000003</v>
      </c>
    </row>
    <row r="45" spans="1:14" x14ac:dyDescent="0.2">
      <c r="C45" s="24" t="s">
        <v>39</v>
      </c>
      <c r="E45" s="76">
        <v>0</v>
      </c>
      <c r="F45" s="72"/>
      <c r="G45" s="8"/>
      <c r="H45" s="76">
        <v>0</v>
      </c>
      <c r="I45" s="72"/>
      <c r="J45" s="76">
        <v>0</v>
      </c>
      <c r="K45" s="72"/>
      <c r="L45" s="76">
        <v>0</v>
      </c>
    </row>
    <row r="46" spans="1:14" x14ac:dyDescent="0.2">
      <c r="C46" s="24" t="s">
        <v>40</v>
      </c>
      <c r="E46" s="76">
        <v>3028</v>
      </c>
      <c r="F46" s="72"/>
      <c r="G46" s="8"/>
      <c r="H46" s="76">
        <v>1055.4000000000001</v>
      </c>
      <c r="I46" s="72"/>
      <c r="J46" s="76">
        <v>1513</v>
      </c>
      <c r="K46" s="72"/>
      <c r="L46" s="76">
        <v>852.4</v>
      </c>
    </row>
    <row r="47" spans="1:14" x14ac:dyDescent="0.2">
      <c r="B47" s="123" t="s">
        <v>41</v>
      </c>
      <c r="C47" s="124"/>
      <c r="E47" s="84">
        <f>SUM(E44:E46)</f>
        <v>30483.439999999999</v>
      </c>
      <c r="F47" s="72"/>
      <c r="G47" s="8"/>
      <c r="H47" s="84">
        <f>SUM(H44:H46)</f>
        <v>37610.920000000006</v>
      </c>
      <c r="I47" s="94"/>
      <c r="J47" s="84">
        <f>SUM(J44:J46)</f>
        <v>36747.58</v>
      </c>
      <c r="K47" s="94"/>
      <c r="L47" s="84">
        <f>SUM(L44:L46)</f>
        <v>26512.700000000004</v>
      </c>
    </row>
    <row r="48" spans="1:14" x14ac:dyDescent="0.2">
      <c r="F48" s="72"/>
      <c r="G48" s="8"/>
      <c r="H48" s="76"/>
      <c r="I48" s="72"/>
      <c r="J48" s="76"/>
      <c r="K48" s="72"/>
      <c r="L48" s="76"/>
    </row>
    <row r="49" spans="1:14" ht="13.5" thickBot="1" x14ac:dyDescent="0.25">
      <c r="B49" s="2" t="s">
        <v>42</v>
      </c>
      <c r="E49" s="85">
        <f>E40-E47</f>
        <v>132724.90999999986</v>
      </c>
      <c r="F49" s="72"/>
      <c r="G49" s="8"/>
      <c r="H49" s="85">
        <f>H40-H47</f>
        <v>166867.76999999993</v>
      </c>
      <c r="I49" s="89"/>
      <c r="J49" s="85">
        <f>J40-J47</f>
        <v>114312.17999999989</v>
      </c>
      <c r="K49" s="89"/>
      <c r="L49" s="85">
        <f>L40-L47</f>
        <v>116265.78000000009</v>
      </c>
    </row>
    <row r="50" spans="1:14" ht="13.5" thickTop="1" x14ac:dyDescent="0.2">
      <c r="A50" s="58"/>
      <c r="B50" s="58"/>
      <c r="C50" s="58"/>
      <c r="D50" s="58"/>
      <c r="E50" s="59">
        <f>E49/E10</f>
        <v>0.24582341156527077</v>
      </c>
      <c r="F50" s="102"/>
      <c r="G50" s="61"/>
      <c r="H50" s="59">
        <f>H49/H10</f>
        <v>0.2661597765395563</v>
      </c>
      <c r="I50" s="62"/>
      <c r="J50" s="59">
        <f>J49/J10</f>
        <v>0.19677142650383952</v>
      </c>
      <c r="K50" s="62"/>
      <c r="L50" s="59">
        <f>L49/L10</f>
        <v>0.22487005290411366</v>
      </c>
      <c r="M50" s="58"/>
      <c r="N50" s="58"/>
    </row>
    <row r="51" spans="1:14" x14ac:dyDescent="0.2">
      <c r="A51" s="58"/>
      <c r="B51" s="58"/>
      <c r="C51" s="58"/>
      <c r="D51" s="58"/>
      <c r="E51" s="59"/>
      <c r="F51" s="102"/>
      <c r="G51" s="61"/>
      <c r="H51" s="59"/>
      <c r="I51" s="62"/>
      <c r="J51" s="59"/>
      <c r="K51" s="62"/>
      <c r="L51" s="59"/>
      <c r="M51" s="58"/>
      <c r="N51" s="58"/>
    </row>
    <row r="52" spans="1:14" x14ac:dyDescent="0.2">
      <c r="A52" s="58"/>
      <c r="B52" s="109" t="s">
        <v>110</v>
      </c>
      <c r="C52" s="58"/>
      <c r="D52" s="58"/>
      <c r="E52" s="59"/>
      <c r="F52" s="102"/>
      <c r="G52" s="61"/>
      <c r="H52" s="59"/>
      <c r="I52" s="62"/>
      <c r="J52" s="59"/>
      <c r="K52" s="62"/>
      <c r="L52" s="59"/>
      <c r="M52" s="58"/>
      <c r="N52" s="58"/>
    </row>
    <row r="53" spans="1:14" x14ac:dyDescent="0.2">
      <c r="C53" s="24" t="s">
        <v>53</v>
      </c>
      <c r="E53" s="76">
        <v>876.8</v>
      </c>
      <c r="F53" s="72"/>
      <c r="G53" s="8"/>
      <c r="H53" s="76">
        <v>624.32000000000005</v>
      </c>
      <c r="I53" s="72"/>
      <c r="J53" s="76">
        <v>569.91999999999996</v>
      </c>
      <c r="K53" s="72"/>
      <c r="L53" s="76">
        <v>282.72000000000003</v>
      </c>
    </row>
    <row r="54" spans="1:14" ht="13.5" thickBot="1" x14ac:dyDescent="0.25">
      <c r="A54" s="58"/>
      <c r="B54" s="109" t="s">
        <v>111</v>
      </c>
      <c r="C54" s="58"/>
      <c r="D54" s="58"/>
      <c r="E54" s="110">
        <f>SUM(E53)</f>
        <v>876.8</v>
      </c>
      <c r="F54" s="102"/>
      <c r="G54" s="61"/>
      <c r="H54" s="110">
        <f>SUM(H53)</f>
        <v>624.32000000000005</v>
      </c>
      <c r="I54" s="62"/>
      <c r="J54" s="110">
        <f>SUM(J53)</f>
        <v>569.91999999999996</v>
      </c>
      <c r="K54" s="62"/>
      <c r="L54" s="110">
        <f>SUM(L53)</f>
        <v>282.72000000000003</v>
      </c>
      <c r="M54" s="58"/>
      <c r="N54" s="58"/>
    </row>
    <row r="55" spans="1:14" ht="13.5" thickTop="1" x14ac:dyDescent="0.2">
      <c r="F55" s="72"/>
      <c r="G55" s="8"/>
      <c r="H55" s="76"/>
      <c r="I55" s="9"/>
      <c r="J55" s="76"/>
      <c r="K55" s="9"/>
      <c r="L55" s="76"/>
    </row>
    <row r="56" spans="1:14" x14ac:dyDescent="0.2">
      <c r="B56" s="2" t="s">
        <v>43</v>
      </c>
      <c r="F56" s="72"/>
      <c r="G56" s="8"/>
      <c r="H56" s="76"/>
      <c r="I56" s="9"/>
      <c r="J56" s="29"/>
      <c r="K56" s="9"/>
      <c r="L56" s="29"/>
    </row>
    <row r="57" spans="1:14" ht="25.5" x14ac:dyDescent="0.2">
      <c r="C57" s="5" t="s">
        <v>44</v>
      </c>
      <c r="E57" s="76">
        <v>0</v>
      </c>
      <c r="F57" s="72"/>
      <c r="G57" s="8"/>
      <c r="H57" s="76">
        <v>5811</v>
      </c>
      <c r="I57" s="72"/>
      <c r="J57" s="76">
        <v>5434</v>
      </c>
      <c r="K57" s="72"/>
      <c r="L57" s="76">
        <v>5540</v>
      </c>
    </row>
    <row r="58" spans="1:14" x14ac:dyDescent="0.2">
      <c r="C58" s="24" t="s">
        <v>40</v>
      </c>
      <c r="E58" s="76">
        <f>600.1+395.69</f>
        <v>995.79</v>
      </c>
      <c r="F58" s="72"/>
      <c r="G58" s="8"/>
      <c r="H58" s="76">
        <v>0.14000000000000001</v>
      </c>
      <c r="I58" s="72"/>
      <c r="J58" s="76">
        <v>308.75</v>
      </c>
      <c r="K58" s="72"/>
      <c r="L58" s="76">
        <v>400</v>
      </c>
    </row>
    <row r="59" spans="1:14" x14ac:dyDescent="0.2">
      <c r="B59" s="123" t="s">
        <v>46</v>
      </c>
      <c r="C59" s="124"/>
      <c r="E59" s="84">
        <f>SUM(E57:E58)</f>
        <v>995.79</v>
      </c>
      <c r="F59" s="72"/>
      <c r="G59" s="8"/>
      <c r="H59" s="84">
        <f>SUM(H57:H58)</f>
        <v>5811.14</v>
      </c>
      <c r="I59" s="94"/>
      <c r="J59" s="84">
        <f>SUM(J57:J58)</f>
        <v>5742.75</v>
      </c>
      <c r="K59" s="94"/>
      <c r="L59" s="84">
        <f>SUM(L57:L58)</f>
        <v>5940</v>
      </c>
    </row>
    <row r="60" spans="1:14" x14ac:dyDescent="0.2">
      <c r="E60" s="74"/>
      <c r="F60" s="72"/>
      <c r="G60" s="8"/>
      <c r="H60" s="74"/>
      <c r="I60" s="94"/>
      <c r="J60" s="74"/>
      <c r="K60" s="94"/>
      <c r="L60" s="74"/>
    </row>
    <row r="61" spans="1:14" x14ac:dyDescent="0.2">
      <c r="B61" s="123" t="s">
        <v>60</v>
      </c>
      <c r="C61" s="124"/>
      <c r="F61" s="72"/>
      <c r="G61" s="8"/>
      <c r="H61" s="76"/>
      <c r="I61" s="72"/>
      <c r="J61" s="76"/>
      <c r="K61" s="72"/>
      <c r="L61" s="76"/>
    </row>
    <row r="62" spans="1:14" x14ac:dyDescent="0.2">
      <c r="C62" s="24" t="s">
        <v>48</v>
      </c>
      <c r="E62" s="76">
        <f>38738+4842.28</f>
        <v>43580.28</v>
      </c>
      <c r="F62" s="72"/>
      <c r="G62" s="8"/>
      <c r="H62" s="76">
        <f>36458+4557.28+1188</f>
        <v>42203.28</v>
      </c>
      <c r="I62" s="72"/>
      <c r="J62" s="76">
        <f>38320+4790.03+1087</f>
        <v>44197.03</v>
      </c>
      <c r="K62" s="72"/>
      <c r="L62" s="76">
        <f>34765+4345.66</f>
        <v>39110.660000000003</v>
      </c>
    </row>
    <row r="63" spans="1:14" x14ac:dyDescent="0.2">
      <c r="C63" s="24" t="s">
        <v>102</v>
      </c>
      <c r="E63" s="76">
        <f>1584.75+1264+81.28</f>
        <v>2930.03</v>
      </c>
      <c r="F63" s="72"/>
      <c r="G63" s="8"/>
      <c r="H63" s="76">
        <v>1548</v>
      </c>
      <c r="I63" s="72"/>
      <c r="J63" s="76">
        <v>1568</v>
      </c>
      <c r="K63" s="72"/>
      <c r="L63" s="76">
        <v>1733.5</v>
      </c>
    </row>
    <row r="64" spans="1:14" x14ac:dyDescent="0.2">
      <c r="C64" s="24" t="s">
        <v>50</v>
      </c>
      <c r="E64" s="76">
        <v>3628.8</v>
      </c>
      <c r="F64" s="72"/>
      <c r="G64" s="8"/>
      <c r="H64" s="76">
        <v>3628.8</v>
      </c>
      <c r="I64" s="72"/>
      <c r="J64" s="76">
        <v>3597.46</v>
      </c>
      <c r="K64" s="72"/>
      <c r="L64" s="76">
        <v>4024.18</v>
      </c>
    </row>
    <row r="65" spans="2:12" x14ac:dyDescent="0.2">
      <c r="C65" s="24" t="s">
        <v>51</v>
      </c>
      <c r="E65" s="76">
        <v>112</v>
      </c>
      <c r="F65" s="72"/>
      <c r="G65" s="8"/>
      <c r="H65" s="76">
        <v>144</v>
      </c>
      <c r="I65" s="72"/>
      <c r="J65" s="76">
        <v>247.12</v>
      </c>
      <c r="K65" s="72"/>
      <c r="L65" s="76">
        <v>0</v>
      </c>
    </row>
    <row r="66" spans="2:12" x14ac:dyDescent="0.2">
      <c r="C66" s="24" t="s">
        <v>52</v>
      </c>
      <c r="E66" s="76">
        <v>6505.22</v>
      </c>
      <c r="F66" s="72"/>
      <c r="G66" s="8"/>
      <c r="H66" s="76">
        <v>5939.79</v>
      </c>
      <c r="I66" s="72"/>
      <c r="J66" s="76">
        <v>5824.87</v>
      </c>
      <c r="K66" s="72"/>
      <c r="L66" s="76">
        <v>6562.71</v>
      </c>
    </row>
    <row r="67" spans="2:12" x14ac:dyDescent="0.2">
      <c r="C67" s="24" t="s">
        <v>54</v>
      </c>
      <c r="E67" s="76">
        <f>2522+845.6</f>
        <v>3367.6</v>
      </c>
      <c r="F67" s="72"/>
      <c r="G67" s="8"/>
      <c r="H67" s="76">
        <v>2390.1999999999998</v>
      </c>
      <c r="I67" s="72"/>
      <c r="J67" s="76">
        <v>5063.2</v>
      </c>
      <c r="K67" s="72"/>
      <c r="L67" s="76">
        <v>3875.6</v>
      </c>
    </row>
    <row r="68" spans="2:12" ht="25.5" x14ac:dyDescent="0.2">
      <c r="C68" s="5" t="s">
        <v>55</v>
      </c>
      <c r="E68" s="76">
        <v>1718.4</v>
      </c>
      <c r="F68" s="72"/>
      <c r="G68" s="8"/>
      <c r="H68" s="76">
        <v>684.59</v>
      </c>
      <c r="I68" s="72"/>
      <c r="J68" s="76">
        <v>32</v>
      </c>
      <c r="K68" s="72"/>
      <c r="L68" s="76">
        <f>321.6+2979.2</f>
        <v>3300.7999999999997</v>
      </c>
    </row>
    <row r="69" spans="2:12" x14ac:dyDescent="0.2">
      <c r="C69" s="24" t="s">
        <v>56</v>
      </c>
      <c r="E69" s="76">
        <f>185.6+128.5</f>
        <v>314.10000000000002</v>
      </c>
      <c r="F69" s="72"/>
      <c r="G69" s="8"/>
      <c r="H69" s="76">
        <v>141.25</v>
      </c>
      <c r="I69" s="72"/>
      <c r="J69" s="76">
        <v>355.74</v>
      </c>
      <c r="K69" s="72"/>
      <c r="L69" s="76">
        <v>1211.01</v>
      </c>
    </row>
    <row r="70" spans="2:12" x14ac:dyDescent="0.2">
      <c r="C70" s="24" t="s">
        <v>91</v>
      </c>
      <c r="E70" s="76">
        <v>6464.22</v>
      </c>
      <c r="F70" s="72"/>
      <c r="G70" s="8"/>
      <c r="H70" s="76">
        <v>6177.91</v>
      </c>
      <c r="I70" s="72"/>
      <c r="J70" s="76">
        <f>15458.34+400</f>
        <v>15858.34</v>
      </c>
      <c r="K70" s="72"/>
      <c r="L70" s="76">
        <f>560+4360.32</f>
        <v>4920.32</v>
      </c>
    </row>
    <row r="71" spans="2:12" x14ac:dyDescent="0.2">
      <c r="C71" s="24" t="s">
        <v>57</v>
      </c>
      <c r="E71" s="76">
        <v>994</v>
      </c>
      <c r="F71" s="72"/>
      <c r="G71" s="8"/>
      <c r="H71" s="76">
        <v>1065</v>
      </c>
      <c r="I71" s="72"/>
      <c r="J71" s="76">
        <v>1207</v>
      </c>
      <c r="K71" s="72"/>
      <c r="L71" s="76">
        <v>923</v>
      </c>
    </row>
    <row r="72" spans="2:12" x14ac:dyDescent="0.2">
      <c r="C72" s="24" t="s">
        <v>74</v>
      </c>
      <c r="E72" s="76">
        <v>0</v>
      </c>
      <c r="F72" s="72"/>
      <c r="G72" s="25"/>
      <c r="H72" s="76">
        <v>20000</v>
      </c>
      <c r="I72" s="72"/>
      <c r="J72" s="76">
        <v>0</v>
      </c>
      <c r="K72" s="72"/>
      <c r="L72" s="76">
        <v>20000</v>
      </c>
    </row>
    <row r="73" spans="2:12" x14ac:dyDescent="0.2">
      <c r="C73" s="24" t="s">
        <v>99</v>
      </c>
      <c r="E73" s="76">
        <v>0</v>
      </c>
      <c r="F73" s="72"/>
      <c r="G73" s="25"/>
      <c r="H73" s="76">
        <v>4650</v>
      </c>
      <c r="I73" s="72"/>
      <c r="J73" s="76">
        <v>0</v>
      </c>
      <c r="K73" s="72"/>
      <c r="L73" s="76">
        <v>0</v>
      </c>
    </row>
    <row r="74" spans="2:12" x14ac:dyDescent="0.2">
      <c r="C74" s="24" t="s">
        <v>40</v>
      </c>
      <c r="E74" s="76">
        <v>0</v>
      </c>
      <c r="F74" s="72"/>
      <c r="G74" s="8"/>
      <c r="H74" s="76">
        <v>0</v>
      </c>
      <c r="I74" s="72"/>
      <c r="J74" s="76">
        <f>319.2</f>
        <v>319.2</v>
      </c>
      <c r="K74" s="72"/>
      <c r="L74" s="76">
        <v>225.12</v>
      </c>
    </row>
    <row r="75" spans="2:12" x14ac:dyDescent="0.2">
      <c r="B75" s="123" t="s">
        <v>59</v>
      </c>
      <c r="C75" s="124"/>
      <c r="E75" s="84">
        <f>SUM(E62:E74)</f>
        <v>69614.649999999994</v>
      </c>
      <c r="F75" s="72"/>
      <c r="G75" s="25"/>
      <c r="H75" s="84">
        <f>SUM(H62:H74)</f>
        <v>88572.819999999992</v>
      </c>
      <c r="I75" s="94"/>
      <c r="J75" s="84">
        <f>SUM(J62:J74)</f>
        <v>78269.959999999992</v>
      </c>
      <c r="K75" s="94"/>
      <c r="L75" s="84">
        <f>SUM(L62:L74)</f>
        <v>85886.9</v>
      </c>
    </row>
    <row r="76" spans="2:12" x14ac:dyDescent="0.2">
      <c r="F76" s="72"/>
      <c r="G76" s="8"/>
      <c r="H76" s="76"/>
      <c r="I76" s="72"/>
      <c r="J76" s="76"/>
      <c r="K76" s="72"/>
      <c r="L76" s="76"/>
    </row>
    <row r="77" spans="2:12" ht="13.5" thickBot="1" x14ac:dyDescent="0.25">
      <c r="B77" s="2" t="s">
        <v>61</v>
      </c>
      <c r="E77" s="77">
        <f>E49-E54+E59-E75</f>
        <v>63229.249999999884</v>
      </c>
      <c r="F77" s="72"/>
      <c r="G77" s="25"/>
      <c r="H77" s="77">
        <f>H49-H54+H59-H75</f>
        <v>83481.769999999946</v>
      </c>
      <c r="I77" s="94"/>
      <c r="J77" s="77">
        <f>J49-J54+J59-J75</f>
        <v>41215.049999999901</v>
      </c>
      <c r="K77" s="94"/>
      <c r="L77" s="77">
        <f>L49-L54+L59-L75</f>
        <v>36036.160000000091</v>
      </c>
    </row>
    <row r="78" spans="2:12" ht="13.5" thickTop="1" x14ac:dyDescent="0.2">
      <c r="E78" s="86"/>
      <c r="F78" s="72"/>
      <c r="G78" s="8"/>
      <c r="H78" s="86"/>
      <c r="I78" s="105"/>
      <c r="J78" s="86"/>
      <c r="K78" s="105"/>
      <c r="L78" s="86"/>
    </row>
    <row r="79" spans="2:12" x14ac:dyDescent="0.2">
      <c r="B79" s="123" t="s">
        <v>112</v>
      </c>
      <c r="C79" s="124"/>
      <c r="F79" s="72"/>
      <c r="G79" s="8"/>
      <c r="H79" s="76"/>
      <c r="I79" s="72"/>
      <c r="J79" s="76"/>
      <c r="K79" s="72"/>
      <c r="L79" s="76"/>
    </row>
    <row r="80" spans="2:12" x14ac:dyDescent="0.2">
      <c r="C80" s="24" t="s">
        <v>64</v>
      </c>
      <c r="E80" s="76">
        <v>0</v>
      </c>
      <c r="F80" s="72"/>
      <c r="G80" s="25"/>
      <c r="H80" s="76">
        <v>0</v>
      </c>
      <c r="I80" s="72"/>
      <c r="J80" s="76">
        <v>0</v>
      </c>
      <c r="K80" s="72"/>
      <c r="L80" s="76">
        <v>7617.98</v>
      </c>
    </row>
    <row r="81" spans="1:12" x14ac:dyDescent="0.2">
      <c r="C81" s="24" t="s">
        <v>103</v>
      </c>
      <c r="E81" s="76">
        <v>4544.05</v>
      </c>
      <c r="F81" s="72"/>
      <c r="G81" s="25"/>
      <c r="H81" s="76">
        <v>0</v>
      </c>
      <c r="I81" s="72"/>
      <c r="J81" s="76">
        <v>0</v>
      </c>
      <c r="K81" s="72"/>
      <c r="L81" s="76">
        <v>0</v>
      </c>
    </row>
    <row r="82" spans="1:12" x14ac:dyDescent="0.2">
      <c r="C82" s="24" t="s">
        <v>114</v>
      </c>
      <c r="E82" s="76">
        <v>5.79</v>
      </c>
      <c r="F82" s="72"/>
      <c r="G82" s="25"/>
      <c r="H82" s="76">
        <v>0</v>
      </c>
      <c r="I82" s="72"/>
      <c r="J82" s="76">
        <v>0</v>
      </c>
      <c r="K82" s="72"/>
      <c r="L82" s="76">
        <v>0</v>
      </c>
    </row>
    <row r="83" spans="1:12" x14ac:dyDescent="0.2">
      <c r="C83" s="24" t="s">
        <v>58</v>
      </c>
      <c r="E83" s="76">
        <v>900</v>
      </c>
      <c r="F83" s="72"/>
      <c r="G83" s="8"/>
      <c r="H83" s="76">
        <v>1550</v>
      </c>
      <c r="I83" s="72"/>
      <c r="J83" s="76">
        <v>1310.75</v>
      </c>
      <c r="K83" s="72"/>
      <c r="L83" s="76">
        <v>1045.5</v>
      </c>
    </row>
    <row r="84" spans="1:12" ht="13.5" thickBot="1" x14ac:dyDescent="0.25">
      <c r="B84" s="123" t="s">
        <v>113</v>
      </c>
      <c r="C84" s="124"/>
      <c r="E84" s="77">
        <f>SUM(E80:E83)</f>
        <v>5449.84</v>
      </c>
      <c r="F84" s="72"/>
      <c r="G84" s="25"/>
      <c r="H84" s="77">
        <f>SUM(H80:H83)</f>
        <v>1550</v>
      </c>
      <c r="I84" s="94"/>
      <c r="J84" s="77">
        <f>SUM(J80:J83)</f>
        <v>1310.75</v>
      </c>
      <c r="K84" s="94"/>
      <c r="L84" s="77">
        <f>SUM(L80:L83)</f>
        <v>8663.48</v>
      </c>
    </row>
    <row r="85" spans="1:12" ht="13.5" thickTop="1" x14ac:dyDescent="0.2">
      <c r="E85" s="74"/>
      <c r="F85" s="72"/>
      <c r="G85" s="8"/>
      <c r="H85" s="74"/>
      <c r="I85" s="94"/>
      <c r="J85" s="74"/>
      <c r="K85" s="94"/>
      <c r="L85" s="74"/>
    </row>
    <row r="86" spans="1:12" ht="13.5" thickBot="1" x14ac:dyDescent="0.25">
      <c r="A86" s="9"/>
      <c r="B86" s="44" t="s">
        <v>67</v>
      </c>
      <c r="D86" s="9"/>
      <c r="E86" s="87">
        <f>E77-E84</f>
        <v>57779.409999999887</v>
      </c>
      <c r="F86" s="72"/>
      <c r="G86" s="25"/>
      <c r="H86" s="87">
        <f>H77-H84</f>
        <v>81931.769999999946</v>
      </c>
      <c r="I86" s="94"/>
      <c r="J86" s="87">
        <f>J77-J84</f>
        <v>39904.299999999901</v>
      </c>
      <c r="K86" s="94"/>
      <c r="L86" s="87">
        <f>L77-L84</f>
        <v>27372.680000000091</v>
      </c>
    </row>
    <row r="87" spans="1:12" ht="13.5" thickTop="1" x14ac:dyDescent="0.2">
      <c r="B87" s="46"/>
      <c r="C87" s="46"/>
      <c r="D87" s="46"/>
      <c r="E87" s="88"/>
      <c r="F87" s="103"/>
      <c r="G87" s="48"/>
      <c r="H87" s="88"/>
      <c r="I87" s="78"/>
      <c r="J87" s="88"/>
      <c r="K87" s="78"/>
      <c r="L87" s="88"/>
    </row>
    <row r="88" spans="1:12" x14ac:dyDescent="0.2">
      <c r="F88" s="72"/>
      <c r="G88" s="67"/>
      <c r="H88" s="76"/>
      <c r="I88" s="72"/>
      <c r="J88" s="76"/>
      <c r="K88" s="72"/>
      <c r="L88" s="76"/>
    </row>
    <row r="89" spans="1:12" ht="15.75" x14ac:dyDescent="0.2">
      <c r="B89" s="16"/>
      <c r="C89" s="66" t="s">
        <v>90</v>
      </c>
      <c r="D89" s="40"/>
      <c r="E89" s="89"/>
      <c r="F89" s="89"/>
      <c r="G89" s="65"/>
      <c r="H89" s="89"/>
      <c r="I89" s="72"/>
      <c r="J89" s="89"/>
      <c r="K89" s="72"/>
      <c r="L89" s="89"/>
    </row>
    <row r="90" spans="1:12" ht="15.75" x14ac:dyDescent="0.2">
      <c r="B90" s="16"/>
      <c r="C90" s="66"/>
      <c r="D90" s="40"/>
      <c r="E90" s="89"/>
      <c r="F90" s="89"/>
      <c r="G90" s="65"/>
      <c r="H90" s="89"/>
      <c r="I90" s="72"/>
      <c r="J90" s="89"/>
      <c r="K90" s="72"/>
      <c r="L90" s="89"/>
    </row>
    <row r="91" spans="1:12" x14ac:dyDescent="0.2">
      <c r="B91" s="2" t="s">
        <v>68</v>
      </c>
      <c r="E91" s="90" t="s">
        <v>0</v>
      </c>
      <c r="F91" s="104"/>
      <c r="G91" s="52"/>
      <c r="H91" s="90" t="s">
        <v>0</v>
      </c>
      <c r="I91" s="104"/>
      <c r="J91" s="90" t="s">
        <v>0</v>
      </c>
      <c r="K91" s="104"/>
      <c r="L91" s="90" t="s">
        <v>0</v>
      </c>
    </row>
    <row r="92" spans="1:12" x14ac:dyDescent="0.2">
      <c r="C92" s="24" t="s">
        <v>69</v>
      </c>
      <c r="E92" s="76">
        <v>551.5</v>
      </c>
      <c r="F92" s="72"/>
      <c r="G92" s="8"/>
      <c r="H92" s="76">
        <v>2514.5</v>
      </c>
      <c r="I92" s="72"/>
      <c r="J92" s="76">
        <v>2697.5</v>
      </c>
      <c r="K92" s="72"/>
      <c r="L92" s="76">
        <v>1897.5</v>
      </c>
    </row>
    <row r="93" spans="1:12" x14ac:dyDescent="0.2">
      <c r="C93" s="4" t="s">
        <v>104</v>
      </c>
      <c r="E93" s="76">
        <v>111570.81</v>
      </c>
      <c r="F93" s="72"/>
      <c r="G93" s="8"/>
      <c r="H93" s="76">
        <v>143913.51</v>
      </c>
      <c r="I93" s="72"/>
      <c r="J93" s="76">
        <v>61461.32</v>
      </c>
      <c r="K93" s="72"/>
      <c r="L93" s="76">
        <v>60598.61</v>
      </c>
    </row>
    <row r="94" spans="1:12" x14ac:dyDescent="0.2">
      <c r="C94" s="4" t="s">
        <v>105</v>
      </c>
      <c r="E94" s="76">
        <v>53051.3</v>
      </c>
      <c r="F94" s="72"/>
      <c r="G94" s="8"/>
      <c r="H94" s="76">
        <v>93014.61</v>
      </c>
      <c r="I94" s="72"/>
      <c r="J94" s="76">
        <v>59002.15</v>
      </c>
      <c r="K94" s="72"/>
      <c r="L94" s="76">
        <v>17762</v>
      </c>
    </row>
    <row r="95" spans="1:12" x14ac:dyDescent="0.2">
      <c r="B95" s="2" t="s">
        <v>70</v>
      </c>
      <c r="E95" s="84">
        <f>SUM(E92:E94)</f>
        <v>165173.60999999999</v>
      </c>
      <c r="F95" s="94"/>
      <c r="G95" s="25"/>
      <c r="H95" s="84">
        <f>SUM(H92:H94)</f>
        <v>239442.62</v>
      </c>
      <c r="I95" s="94"/>
      <c r="J95" s="84">
        <f>SUM(J92:J94)</f>
        <v>123160.97</v>
      </c>
      <c r="K95" s="94"/>
      <c r="L95" s="84">
        <f>SUM(L92:L94)</f>
        <v>80258.11</v>
      </c>
    </row>
    <row r="96" spans="1:12" x14ac:dyDescent="0.2">
      <c r="F96" s="72"/>
      <c r="G96" s="8"/>
      <c r="H96" s="76"/>
      <c r="I96" s="72"/>
      <c r="J96" s="76"/>
      <c r="K96" s="72"/>
      <c r="L96" s="76"/>
    </row>
    <row r="97" spans="2:14" x14ac:dyDescent="0.2">
      <c r="B97" s="2" t="s">
        <v>71</v>
      </c>
      <c r="E97" s="91">
        <v>106587.58</v>
      </c>
      <c r="F97" s="72"/>
      <c r="G97" s="8"/>
      <c r="H97" s="91">
        <v>66459.460000000006</v>
      </c>
      <c r="I97" s="72"/>
      <c r="J97" s="91">
        <v>59989.59</v>
      </c>
      <c r="K97" s="72"/>
      <c r="L97" s="91">
        <v>100789.92</v>
      </c>
    </row>
    <row r="98" spans="2:14" x14ac:dyDescent="0.2">
      <c r="F98" s="72"/>
      <c r="G98" s="8"/>
      <c r="H98" s="76"/>
      <c r="I98" s="72"/>
      <c r="J98" s="76"/>
      <c r="K98" s="72"/>
      <c r="L98" s="76"/>
    </row>
    <row r="99" spans="2:14" x14ac:dyDescent="0.2">
      <c r="B99" s="2" t="s">
        <v>72</v>
      </c>
      <c r="F99" s="72"/>
      <c r="G99" s="8"/>
      <c r="H99" s="76"/>
      <c r="I99" s="72"/>
      <c r="J99" s="76"/>
      <c r="K99" s="72"/>
      <c r="L99" s="76"/>
    </row>
    <row r="100" spans="2:14" x14ac:dyDescent="0.2">
      <c r="C100" s="24" t="s">
        <v>73</v>
      </c>
      <c r="E100" s="76">
        <v>787854.54</v>
      </c>
      <c r="G100" s="8"/>
      <c r="H100" s="76">
        <v>654724.04</v>
      </c>
      <c r="I100" s="72"/>
      <c r="J100" s="76">
        <v>568344.30000000005</v>
      </c>
      <c r="K100" s="72"/>
      <c r="L100" s="76">
        <v>601671.56000000006</v>
      </c>
    </row>
    <row r="101" spans="2:14" x14ac:dyDescent="0.2">
      <c r="C101" s="24" t="s">
        <v>97</v>
      </c>
      <c r="E101" s="92">
        <f>7479.9+81597.11+25537.6+32187.03-0.9</f>
        <v>146800.74</v>
      </c>
      <c r="G101" s="8"/>
      <c r="H101" s="92">
        <f>1983.92+5131.18+3306.86</f>
        <v>10421.960000000001</v>
      </c>
      <c r="I101" s="106"/>
      <c r="J101" s="92">
        <f>68935.16+10877.58+13605.73+1983.92</f>
        <v>95402.39</v>
      </c>
      <c r="K101" s="106"/>
      <c r="L101" s="76">
        <v>0</v>
      </c>
    </row>
    <row r="102" spans="2:14" x14ac:dyDescent="0.2">
      <c r="C102" s="24" t="s">
        <v>76</v>
      </c>
      <c r="E102" s="76">
        <v>330914.59999999998</v>
      </c>
      <c r="G102" s="8"/>
      <c r="H102" s="76">
        <v>326916.53000000003</v>
      </c>
      <c r="I102" s="106"/>
      <c r="J102" s="76">
        <v>327223.45</v>
      </c>
      <c r="K102" s="106"/>
      <c r="L102" s="76">
        <v>333782.07</v>
      </c>
      <c r="N102" s="55"/>
    </row>
    <row r="103" spans="2:14" x14ac:dyDescent="0.2">
      <c r="C103" s="24" t="s">
        <v>75</v>
      </c>
      <c r="E103" s="76">
        <v>-253000</v>
      </c>
      <c r="G103" s="8"/>
      <c r="H103" s="76">
        <v>-253000</v>
      </c>
      <c r="I103" s="106"/>
      <c r="J103" s="76">
        <v>-233000</v>
      </c>
      <c r="K103" s="106"/>
      <c r="L103" s="76">
        <v>-233000</v>
      </c>
    </row>
    <row r="104" spans="2:14" x14ac:dyDescent="0.2">
      <c r="C104" s="24" t="s">
        <v>77</v>
      </c>
      <c r="E104" s="92">
        <v>4290.58</v>
      </c>
      <c r="G104" s="8"/>
      <c r="H104" s="92">
        <v>0</v>
      </c>
      <c r="I104" s="106"/>
      <c r="J104" s="92">
        <v>0</v>
      </c>
      <c r="K104" s="106"/>
      <c r="L104" s="76">
        <v>0</v>
      </c>
    </row>
    <row r="105" spans="2:14" x14ac:dyDescent="0.2">
      <c r="C105" s="24" t="s">
        <v>115</v>
      </c>
      <c r="E105" s="92">
        <v>3100</v>
      </c>
      <c r="F105" s="92"/>
      <c r="G105" s="8"/>
      <c r="H105" s="92">
        <v>3100</v>
      </c>
      <c r="I105" s="72"/>
      <c r="J105" s="92">
        <v>3100</v>
      </c>
      <c r="K105" s="72"/>
      <c r="L105" s="92">
        <v>3100</v>
      </c>
      <c r="N105" s="55"/>
    </row>
    <row r="106" spans="2:14" x14ac:dyDescent="0.2">
      <c r="B106" s="2" t="s">
        <v>78</v>
      </c>
      <c r="E106" s="93">
        <f>SUM(E100:E105)</f>
        <v>1019960.4599999998</v>
      </c>
      <c r="F106" s="89"/>
      <c r="G106" s="8"/>
      <c r="H106" s="93">
        <f>SUM(H100:H105)</f>
        <v>742162.53</v>
      </c>
      <c r="I106" s="72"/>
      <c r="J106" s="93">
        <f>SUM(J100:J105)</f>
        <v>761070.14000000013</v>
      </c>
      <c r="K106" s="72"/>
      <c r="L106" s="93">
        <f>SUM(L100:L105)</f>
        <v>705553.63000000012</v>
      </c>
      <c r="N106" s="55"/>
    </row>
    <row r="107" spans="2:14" x14ac:dyDescent="0.2">
      <c r="G107" s="8"/>
      <c r="H107" s="76"/>
      <c r="I107" s="72"/>
      <c r="J107" s="76"/>
      <c r="K107" s="72"/>
      <c r="L107" s="76"/>
      <c r="N107" s="55"/>
    </row>
    <row r="108" spans="2:14" ht="13.5" thickBot="1" x14ac:dyDescent="0.25">
      <c r="B108" s="2" t="s">
        <v>79</v>
      </c>
      <c r="E108" s="77">
        <f>SUM(E106,E97,E95)</f>
        <v>1291721.6499999999</v>
      </c>
      <c r="F108" s="94"/>
      <c r="G108" s="8"/>
      <c r="H108" s="77">
        <f>SUM(H106,H97,H95)</f>
        <v>1048064.61</v>
      </c>
      <c r="I108" s="94"/>
      <c r="J108" s="77">
        <f>SUM(J106,J97,J95)</f>
        <v>944220.70000000007</v>
      </c>
      <c r="K108" s="94"/>
      <c r="L108" s="77">
        <f>SUM(L106,L97,L95)</f>
        <v>886601.66000000015</v>
      </c>
      <c r="N108" s="55"/>
    </row>
    <row r="109" spans="2:14" ht="13.5" thickTop="1" x14ac:dyDescent="0.2">
      <c r="E109" s="74"/>
      <c r="F109" s="74"/>
      <c r="G109" s="8"/>
      <c r="H109" s="74"/>
      <c r="I109" s="94"/>
      <c r="J109" s="74"/>
      <c r="K109" s="94"/>
      <c r="L109" s="74"/>
      <c r="N109" s="55"/>
    </row>
    <row r="110" spans="2:14" x14ac:dyDescent="0.2">
      <c r="B110" s="2" t="s">
        <v>80</v>
      </c>
      <c r="G110" s="8"/>
      <c r="H110" s="76"/>
      <c r="I110" s="72"/>
      <c r="J110" s="76"/>
      <c r="K110" s="72"/>
      <c r="L110" s="76"/>
      <c r="N110" s="55"/>
    </row>
    <row r="111" spans="2:14" x14ac:dyDescent="0.2">
      <c r="C111" s="24" t="s">
        <v>92</v>
      </c>
      <c r="E111" s="94">
        <v>107103.82</v>
      </c>
      <c r="F111" s="94"/>
      <c r="G111" s="25"/>
      <c r="H111" s="94">
        <v>100982.96</v>
      </c>
      <c r="I111" s="94"/>
      <c r="J111" s="94">
        <v>79081.59</v>
      </c>
      <c r="K111" s="94"/>
      <c r="L111" s="94">
        <v>58776.08</v>
      </c>
      <c r="N111" s="55"/>
    </row>
    <row r="112" spans="2:14" x14ac:dyDescent="0.2">
      <c r="C112" s="24" t="s">
        <v>106</v>
      </c>
      <c r="E112" s="94">
        <v>162448</v>
      </c>
      <c r="F112" s="94"/>
      <c r="G112" s="25"/>
      <c r="H112" s="94">
        <v>0</v>
      </c>
      <c r="I112" s="94"/>
      <c r="J112" s="94">
        <v>0</v>
      </c>
      <c r="K112" s="94"/>
      <c r="L112" s="94">
        <v>0</v>
      </c>
      <c r="N112" s="55"/>
    </row>
    <row r="113" spans="2:14" x14ac:dyDescent="0.2">
      <c r="C113" s="24" t="s">
        <v>116</v>
      </c>
      <c r="E113" s="94">
        <v>5.79</v>
      </c>
      <c r="F113" s="94"/>
      <c r="G113" s="25"/>
      <c r="H113" s="94">
        <v>0</v>
      </c>
      <c r="I113" s="94"/>
      <c r="J113" s="94">
        <v>0</v>
      </c>
      <c r="K113" s="94"/>
      <c r="L113" s="94">
        <v>0</v>
      </c>
      <c r="N113" s="55"/>
    </row>
    <row r="114" spans="2:14" x14ac:dyDescent="0.2">
      <c r="C114" s="24" t="s">
        <v>117</v>
      </c>
      <c r="E114" s="76">
        <f>225.13+6250</f>
        <v>6475.13</v>
      </c>
      <c r="F114" s="94"/>
      <c r="G114" s="25"/>
      <c r="H114" s="94">
        <v>0</v>
      </c>
      <c r="I114" s="94"/>
      <c r="J114" s="94">
        <v>0</v>
      </c>
      <c r="K114" s="94"/>
      <c r="L114" s="94">
        <v>0</v>
      </c>
      <c r="N114" s="55"/>
    </row>
    <row r="115" spans="2:14" x14ac:dyDescent="0.2">
      <c r="C115" s="24" t="s">
        <v>118</v>
      </c>
      <c r="E115" s="76">
        <v>8078.93</v>
      </c>
      <c r="F115" s="94"/>
      <c r="G115" s="25"/>
      <c r="H115" s="94">
        <v>0</v>
      </c>
      <c r="I115" s="94"/>
      <c r="J115" s="94">
        <v>0</v>
      </c>
      <c r="K115" s="94"/>
      <c r="L115" s="94">
        <v>0</v>
      </c>
      <c r="N115" s="55"/>
    </row>
    <row r="116" spans="2:14" x14ac:dyDescent="0.2">
      <c r="C116" s="24" t="s">
        <v>82</v>
      </c>
      <c r="E116" s="76">
        <v>6534.17</v>
      </c>
      <c r="G116" s="8"/>
      <c r="H116" s="76">
        <v>3784.69</v>
      </c>
      <c r="I116" s="72"/>
      <c r="J116" s="76">
        <v>3773.06</v>
      </c>
      <c r="K116" s="72"/>
      <c r="L116" s="76">
        <v>6270.56</v>
      </c>
    </row>
    <row r="117" spans="2:14" x14ac:dyDescent="0.2">
      <c r="B117" s="2" t="s">
        <v>84</v>
      </c>
      <c r="E117" s="84">
        <f>SUM(E111:E116)</f>
        <v>290645.83999999997</v>
      </c>
      <c r="F117" s="94"/>
      <c r="G117" s="25"/>
      <c r="H117" s="84">
        <f>SUM(H111:H116)</f>
        <v>104767.65000000001</v>
      </c>
      <c r="I117" s="94"/>
      <c r="J117" s="84">
        <f>SUM(J111:J116)</f>
        <v>82854.649999999994</v>
      </c>
      <c r="K117" s="94"/>
      <c r="L117" s="84">
        <f>SUM(L111:L116)</f>
        <v>65046.64</v>
      </c>
    </row>
    <row r="118" spans="2:14" x14ac:dyDescent="0.2">
      <c r="E118" s="74"/>
      <c r="F118" s="74"/>
      <c r="G118" s="8"/>
      <c r="H118" s="74"/>
      <c r="I118" s="94"/>
      <c r="J118" s="74"/>
      <c r="K118" s="94"/>
      <c r="L118" s="74"/>
    </row>
    <row r="119" spans="2:14" x14ac:dyDescent="0.2">
      <c r="B119" s="2" t="s">
        <v>85</v>
      </c>
      <c r="G119" s="8"/>
      <c r="H119" s="76"/>
      <c r="I119" s="72"/>
      <c r="J119" s="76"/>
      <c r="K119" s="72"/>
      <c r="L119" s="76"/>
    </row>
    <row r="120" spans="2:14" x14ac:dyDescent="0.2">
      <c r="C120" s="24" t="s">
        <v>86</v>
      </c>
      <c r="E120" s="76">
        <v>943296.96</v>
      </c>
      <c r="G120" s="8"/>
      <c r="H120" s="76">
        <v>861366.05</v>
      </c>
      <c r="I120" s="72"/>
      <c r="J120" s="76">
        <v>821555.02</v>
      </c>
      <c r="K120" s="72"/>
      <c r="L120" s="76">
        <v>794250.38</v>
      </c>
    </row>
    <row r="121" spans="2:14" x14ac:dyDescent="0.2">
      <c r="C121" s="24" t="s">
        <v>87</v>
      </c>
      <c r="E121" s="76">
        <f>E86</f>
        <v>57779.409999999887</v>
      </c>
      <c r="G121" s="8"/>
      <c r="H121" s="76">
        <f>H86</f>
        <v>81931.769999999946</v>
      </c>
      <c r="I121" s="72"/>
      <c r="J121" s="76">
        <f>J86</f>
        <v>39904.299999999901</v>
      </c>
      <c r="K121" s="72"/>
      <c r="L121" s="76">
        <f>L86</f>
        <v>27372.680000000091</v>
      </c>
    </row>
    <row r="122" spans="2:14" ht="13.5" thickBot="1" x14ac:dyDescent="0.25">
      <c r="B122" s="2" t="s">
        <v>88</v>
      </c>
      <c r="E122" s="77">
        <f>SUM(E120:E121)</f>
        <v>1001076.3699999999</v>
      </c>
      <c r="F122" s="94"/>
      <c r="G122" s="8"/>
      <c r="H122" s="77">
        <f>SUM(H120:H121)</f>
        <v>943297.82</v>
      </c>
      <c r="I122" s="94"/>
      <c r="J122" s="77">
        <f>SUM(J120:J121)</f>
        <v>861459.32</v>
      </c>
      <c r="K122" s="94"/>
      <c r="L122" s="77">
        <f>SUM(L120:L121)</f>
        <v>821623.06</v>
      </c>
    </row>
    <row r="123" spans="2:14" ht="13.5" thickTop="1" x14ac:dyDescent="0.2">
      <c r="E123" s="74"/>
      <c r="F123" s="74"/>
      <c r="G123" s="8"/>
      <c r="H123" s="74"/>
      <c r="I123" s="94"/>
      <c r="J123" s="74"/>
      <c r="K123" s="94"/>
      <c r="L123" s="74"/>
    </row>
    <row r="124" spans="2:14" ht="13.5" thickBot="1" x14ac:dyDescent="0.25">
      <c r="B124" s="2" t="s">
        <v>89</v>
      </c>
      <c r="E124" s="77">
        <f>E117+E122</f>
        <v>1291722.21</v>
      </c>
      <c r="F124" s="94"/>
      <c r="G124" s="8"/>
      <c r="H124" s="77">
        <f>H117+H122</f>
        <v>1048065.47</v>
      </c>
      <c r="I124" s="94"/>
      <c r="J124" s="77">
        <f>J117+J122</f>
        <v>944313.97</v>
      </c>
      <c r="K124" s="94"/>
      <c r="L124" s="77">
        <f>L117+L122</f>
        <v>886669.70000000007</v>
      </c>
    </row>
    <row r="125" spans="2:14" ht="13.5" thickTop="1" x14ac:dyDescent="0.2">
      <c r="E125" s="74"/>
      <c r="F125" s="74"/>
      <c r="G125" s="8"/>
      <c r="H125" s="74"/>
      <c r="I125" s="41"/>
      <c r="J125" s="20"/>
      <c r="K125" s="41"/>
      <c r="L125" s="20"/>
    </row>
    <row r="126" spans="2:14" x14ac:dyDescent="0.2">
      <c r="H126" s="76"/>
      <c r="I126" s="9"/>
      <c r="K126" s="9"/>
    </row>
  </sheetData>
  <mergeCells count="7">
    <mergeCell ref="B84:C84"/>
    <mergeCell ref="B37:C37"/>
    <mergeCell ref="B47:C47"/>
    <mergeCell ref="B59:C59"/>
    <mergeCell ref="B61:C61"/>
    <mergeCell ref="B75:C75"/>
    <mergeCell ref="B79:C79"/>
  </mergeCells>
  <pageMargins left="0.3" right="0.31" top="0.36" bottom="0.2" header="0.3" footer="0.3"/>
  <pageSetup paperSize="9" scale="75" orientation="portrait" horizontalDpi="4294967293" verticalDpi="0" r:id="rId1"/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topLeftCell="A120" zoomScaleNormal="100" workbookViewId="0">
      <selection activeCell="A120" sqref="A120:XFD132"/>
    </sheetView>
  </sheetViews>
  <sheetFormatPr defaultRowHeight="12.75" x14ac:dyDescent="0.2"/>
  <cols>
    <col min="1" max="1" width="1.5703125" style="4" customWidth="1"/>
    <col min="2" max="2" width="3.85546875" style="4" customWidth="1"/>
    <col min="3" max="3" width="45.140625" style="4" customWidth="1"/>
    <col min="4" max="4" width="1.7109375" style="4" customWidth="1"/>
    <col min="5" max="5" width="10" style="76" customWidth="1"/>
    <col min="6" max="6" width="10.140625" style="76" bestFit="1" customWidth="1"/>
    <col min="7" max="7" width="1.7109375" style="4" customWidth="1"/>
    <col min="8" max="8" width="10" style="4" customWidth="1"/>
    <col min="9" max="9" width="1.7109375" style="4" customWidth="1"/>
    <col min="10" max="10" width="10" style="4" customWidth="1"/>
    <col min="11" max="11" width="1.7109375" style="4" customWidth="1"/>
    <col min="12" max="12" width="10" style="4" customWidth="1"/>
    <col min="13" max="13" width="1.7109375" style="4" customWidth="1"/>
    <col min="14" max="14" width="9.140625" style="4"/>
    <col min="15" max="15" width="3.28515625" style="4" customWidth="1"/>
    <col min="16" max="17" width="9.5703125" style="4" bestFit="1" customWidth="1"/>
    <col min="18" max="16384" width="9.140625" style="4"/>
  </cols>
  <sheetData>
    <row r="1" spans="1:18" x14ac:dyDescent="0.2">
      <c r="A1" s="4">
        <v>2019</v>
      </c>
      <c r="C1" s="15" t="s">
        <v>32</v>
      </c>
      <c r="D1" s="9"/>
      <c r="E1" s="72"/>
      <c r="F1" s="72"/>
      <c r="G1" s="9"/>
      <c r="H1" s="9"/>
    </row>
    <row r="2" spans="1:18" ht="16.5" thickBot="1" x14ac:dyDescent="0.25">
      <c r="B2" s="16"/>
      <c r="C2" s="17" t="s">
        <v>98</v>
      </c>
      <c r="D2" s="18"/>
      <c r="E2" s="73"/>
      <c r="F2" s="73"/>
      <c r="G2" s="18"/>
      <c r="H2" s="18"/>
      <c r="I2" s="19"/>
      <c r="J2" s="19"/>
    </row>
    <row r="3" spans="1:18" ht="11.45" customHeight="1" thickTop="1" x14ac:dyDescent="0.2">
      <c r="B3" s="20"/>
      <c r="C3" s="20"/>
      <c r="D3" s="20"/>
      <c r="E3" s="74"/>
      <c r="F3" s="74"/>
      <c r="I3" s="9"/>
      <c r="J3" s="9"/>
    </row>
    <row r="4" spans="1:18" x14ac:dyDescent="0.2">
      <c r="B4" s="2" t="s">
        <v>7</v>
      </c>
      <c r="E4" s="75" t="s">
        <v>8</v>
      </c>
      <c r="F4" s="90"/>
      <c r="G4" s="8"/>
      <c r="H4" s="23">
        <v>2018</v>
      </c>
      <c r="I4" s="9"/>
      <c r="J4" s="23">
        <v>2017</v>
      </c>
      <c r="K4" s="9"/>
      <c r="L4" s="23">
        <v>2016</v>
      </c>
    </row>
    <row r="5" spans="1:18" x14ac:dyDescent="0.2">
      <c r="C5" s="24" t="s">
        <v>6</v>
      </c>
      <c r="E5" s="76">
        <f>475975.12+2087.12</f>
        <v>478062.24</v>
      </c>
      <c r="G5" s="8"/>
      <c r="H5" s="76">
        <f>434458.88+1417.56+3131.16</f>
        <v>439007.6</v>
      </c>
      <c r="I5" s="72"/>
      <c r="J5" s="76">
        <f>380811.74+1105.84+1819.3</f>
        <v>383736.88</v>
      </c>
      <c r="K5" s="72"/>
      <c r="L5" s="76">
        <f>377144.06+821.2+4154.04</f>
        <v>382119.3</v>
      </c>
    </row>
    <row r="6" spans="1:18" x14ac:dyDescent="0.2">
      <c r="C6" s="24" t="s">
        <v>5</v>
      </c>
      <c r="E6" s="76">
        <v>46635.41</v>
      </c>
      <c r="G6" s="8"/>
      <c r="H6" s="76">
        <v>47312.97</v>
      </c>
      <c r="I6" s="72"/>
      <c r="J6" s="76">
        <v>50911.94</v>
      </c>
      <c r="K6" s="72"/>
      <c r="L6" s="76">
        <v>46603.3</v>
      </c>
    </row>
    <row r="7" spans="1:18" x14ac:dyDescent="0.2">
      <c r="C7" s="24" t="s">
        <v>4</v>
      </c>
      <c r="E7" s="76">
        <v>102279.52</v>
      </c>
      <c r="G7" s="25"/>
      <c r="H7" s="76">
        <v>94669.64</v>
      </c>
      <c r="I7" s="72"/>
      <c r="J7" s="76">
        <v>82560.479999999996</v>
      </c>
      <c r="K7" s="72"/>
      <c r="L7" s="76">
        <v>83248.88</v>
      </c>
    </row>
    <row r="8" spans="1:18" x14ac:dyDescent="0.2">
      <c r="C8" s="27" t="s">
        <v>47</v>
      </c>
      <c r="E8" s="76">
        <v>31.31</v>
      </c>
      <c r="G8" s="8"/>
      <c r="H8" s="76">
        <v>51.29</v>
      </c>
      <c r="I8" s="72"/>
      <c r="J8" s="76">
        <v>173.89</v>
      </c>
      <c r="K8" s="72"/>
      <c r="L8" s="76">
        <v>84.34</v>
      </c>
    </row>
    <row r="9" spans="1:18" ht="13.5" thickBot="1" x14ac:dyDescent="0.25">
      <c r="A9" s="12"/>
      <c r="B9" s="2" t="s">
        <v>9</v>
      </c>
      <c r="E9" s="77">
        <f>E5+E6+E7-E8</f>
        <v>626945.86</v>
      </c>
      <c r="F9" s="94"/>
      <c r="G9" s="25"/>
      <c r="H9" s="77">
        <f>H5+H6+H7-H8</f>
        <v>580938.91999999993</v>
      </c>
      <c r="I9" s="72"/>
      <c r="J9" s="77">
        <f>J5+J6+J7-J8</f>
        <v>517035.41</v>
      </c>
      <c r="K9" s="72"/>
      <c r="L9" s="77">
        <f>L5+L6+L7-L8</f>
        <v>511887.13999999996</v>
      </c>
      <c r="O9" s="29"/>
    </row>
    <row r="10" spans="1:18" ht="12.75" customHeight="1" thickTop="1" x14ac:dyDescent="0.2">
      <c r="A10" s="12"/>
      <c r="B10" s="2"/>
      <c r="E10" s="78"/>
      <c r="F10" s="78"/>
      <c r="G10" s="25"/>
      <c r="H10" s="30"/>
      <c r="I10" s="26"/>
      <c r="J10" s="30"/>
      <c r="K10" s="26"/>
      <c r="L10" s="31"/>
      <c r="O10" s="29"/>
    </row>
    <row r="11" spans="1:18" ht="33.75" x14ac:dyDescent="0.2">
      <c r="B11" s="2" t="s">
        <v>10</v>
      </c>
      <c r="E11" s="79" t="s">
        <v>25</v>
      </c>
      <c r="F11" s="96" t="s">
        <v>33</v>
      </c>
      <c r="G11" s="8"/>
      <c r="H11" s="3" t="s">
        <v>25</v>
      </c>
      <c r="I11" s="9"/>
      <c r="J11" s="3" t="s">
        <v>25</v>
      </c>
      <c r="K11" s="9"/>
      <c r="L11" s="6"/>
    </row>
    <row r="12" spans="1:18" x14ac:dyDescent="0.2">
      <c r="C12" s="4" t="s">
        <v>3</v>
      </c>
      <c r="E12" s="76">
        <v>285304.33</v>
      </c>
      <c r="F12" s="97"/>
      <c r="G12" s="8"/>
      <c r="H12" s="76">
        <v>217034.78</v>
      </c>
      <c r="I12" s="72"/>
      <c r="J12" s="76">
        <v>146904.39000000001</v>
      </c>
      <c r="K12" s="72"/>
      <c r="L12" s="76">
        <v>127159.15</v>
      </c>
    </row>
    <row r="13" spans="1:18" x14ac:dyDescent="0.2">
      <c r="C13" s="24" t="s">
        <v>11</v>
      </c>
      <c r="E13" s="76">
        <v>50108.28</v>
      </c>
      <c r="F13" s="97">
        <v>16347.98</v>
      </c>
      <c r="G13" s="8"/>
      <c r="H13" s="76">
        <v>10473.65</v>
      </c>
      <c r="I13" s="72"/>
      <c r="J13" s="76">
        <v>42828.69</v>
      </c>
      <c r="K13" s="72"/>
      <c r="L13" s="76">
        <v>0</v>
      </c>
    </row>
    <row r="14" spans="1:18" x14ac:dyDescent="0.2">
      <c r="C14" s="24" t="s">
        <v>12</v>
      </c>
      <c r="E14" s="76">
        <v>176761.72</v>
      </c>
      <c r="F14" s="97">
        <f>170497.38-15000</f>
        <v>155497.38</v>
      </c>
      <c r="G14" s="25"/>
      <c r="H14" s="76">
        <v>102703.7</v>
      </c>
      <c r="I14" s="72"/>
      <c r="J14" s="76">
        <v>103407.69</v>
      </c>
      <c r="K14" s="72"/>
      <c r="L14" s="76">
        <v>37250.01</v>
      </c>
    </row>
    <row r="15" spans="1:18" x14ac:dyDescent="0.2">
      <c r="C15" s="24" t="s">
        <v>13</v>
      </c>
      <c r="E15" s="76">
        <v>8415.4</v>
      </c>
      <c r="F15" s="97">
        <v>2325.92</v>
      </c>
      <c r="G15" s="25"/>
      <c r="H15" s="76">
        <v>0</v>
      </c>
      <c r="I15" s="72"/>
      <c r="J15" s="76">
        <f>4517.43</f>
        <v>4517.43</v>
      </c>
      <c r="K15" s="72"/>
      <c r="L15" s="76">
        <v>14374.33</v>
      </c>
      <c r="R15" s="107"/>
    </row>
    <row r="16" spans="1:18" x14ac:dyDescent="0.2">
      <c r="C16" s="24" t="s">
        <v>14</v>
      </c>
      <c r="E16" s="76">
        <v>0</v>
      </c>
      <c r="F16" s="97"/>
      <c r="G16" s="25"/>
      <c r="H16" s="76">
        <v>32099.64</v>
      </c>
      <c r="I16" s="72"/>
      <c r="J16" s="76">
        <v>0</v>
      </c>
      <c r="K16" s="72"/>
      <c r="L16" s="76">
        <v>23717.73</v>
      </c>
      <c r="R16" s="107"/>
    </row>
    <row r="17" spans="2:18" x14ac:dyDescent="0.2">
      <c r="C17" s="24" t="s">
        <v>15</v>
      </c>
      <c r="E17" s="76">
        <v>6941.85</v>
      </c>
      <c r="F17" s="97">
        <v>3453.74</v>
      </c>
      <c r="G17" s="25"/>
      <c r="H17" s="76">
        <v>0</v>
      </c>
      <c r="I17" s="72"/>
      <c r="J17" s="76">
        <v>10576.59</v>
      </c>
      <c r="K17" s="72"/>
      <c r="L17" s="76">
        <v>7983.7</v>
      </c>
    </row>
    <row r="18" spans="2:18" x14ac:dyDescent="0.2">
      <c r="C18" s="24" t="s">
        <v>16</v>
      </c>
      <c r="E18" s="76">
        <v>0</v>
      </c>
      <c r="F18" s="97"/>
      <c r="G18" s="25"/>
      <c r="H18" s="76">
        <v>0</v>
      </c>
      <c r="I18" s="72"/>
      <c r="J18" s="76">
        <v>9296.94</v>
      </c>
      <c r="K18" s="72"/>
      <c r="L18" s="76">
        <v>0</v>
      </c>
    </row>
    <row r="19" spans="2:18" x14ac:dyDescent="0.2">
      <c r="C19" s="24" t="s">
        <v>17</v>
      </c>
      <c r="E19" s="76">
        <v>26741.73</v>
      </c>
      <c r="F19" s="97"/>
      <c r="G19" s="25"/>
      <c r="H19" s="76">
        <v>0</v>
      </c>
      <c r="I19" s="72"/>
      <c r="J19" s="76">
        <v>32990.589999999997</v>
      </c>
      <c r="K19" s="72"/>
      <c r="L19" s="76">
        <v>0</v>
      </c>
    </row>
    <row r="20" spans="2:18" x14ac:dyDescent="0.2">
      <c r="C20" s="24" t="s">
        <v>18</v>
      </c>
      <c r="E20" s="76">
        <v>11763.4</v>
      </c>
      <c r="F20" s="98">
        <v>3530.1</v>
      </c>
      <c r="G20" s="25"/>
      <c r="H20" s="76">
        <v>12168.53</v>
      </c>
      <c r="I20" s="72"/>
      <c r="J20" s="76">
        <v>10358.549999999999</v>
      </c>
      <c r="K20" s="72"/>
      <c r="L20" s="76">
        <v>12941.77</v>
      </c>
    </row>
    <row r="21" spans="2:18" x14ac:dyDescent="0.2">
      <c r="C21" s="24" t="s">
        <v>19</v>
      </c>
      <c r="E21" s="76">
        <v>30746.06</v>
      </c>
      <c r="F21" s="98">
        <v>30746</v>
      </c>
      <c r="G21" s="25"/>
      <c r="H21" s="76">
        <v>27544.45</v>
      </c>
      <c r="I21" s="72"/>
      <c r="J21" s="76">
        <f>4481.56+20011.05</f>
        <v>24492.61</v>
      </c>
      <c r="K21" s="72"/>
      <c r="L21" s="76">
        <v>36160.46</v>
      </c>
    </row>
    <row r="22" spans="2:18" x14ac:dyDescent="0.2">
      <c r="C22" s="24" t="s">
        <v>21</v>
      </c>
      <c r="E22" s="76">
        <v>26948.3</v>
      </c>
      <c r="F22" s="98">
        <v>3210.31</v>
      </c>
      <c r="G22" s="25"/>
      <c r="H22" s="76">
        <v>0</v>
      </c>
      <c r="I22" s="72"/>
      <c r="J22" s="76">
        <v>0</v>
      </c>
      <c r="K22" s="72"/>
      <c r="L22" s="76">
        <v>87117.54</v>
      </c>
    </row>
    <row r="23" spans="2:18" x14ac:dyDescent="0.2">
      <c r="C23" s="24" t="s">
        <v>22</v>
      </c>
      <c r="E23" s="76">
        <v>96364.49</v>
      </c>
      <c r="F23" s="98">
        <v>50022.59</v>
      </c>
      <c r="G23" s="25"/>
      <c r="H23" s="76">
        <v>102418.51</v>
      </c>
      <c r="I23" s="72"/>
      <c r="J23" s="76">
        <v>100351.06</v>
      </c>
      <c r="K23" s="72"/>
      <c r="L23" s="76">
        <v>67584.759999999995</v>
      </c>
    </row>
    <row r="24" spans="2:18" x14ac:dyDescent="0.2">
      <c r="C24" s="24" t="s">
        <v>23</v>
      </c>
      <c r="E24" s="76">
        <v>0</v>
      </c>
      <c r="F24" s="98"/>
      <c r="G24" s="25"/>
      <c r="H24" s="76">
        <v>24313.38</v>
      </c>
      <c r="I24" s="72"/>
      <c r="J24" s="76">
        <v>71028.429999999993</v>
      </c>
      <c r="K24" s="72"/>
      <c r="L24" s="76">
        <v>35655.71</v>
      </c>
    </row>
    <row r="25" spans="2:18" x14ac:dyDescent="0.2">
      <c r="C25" s="24" t="s">
        <v>26</v>
      </c>
      <c r="E25" s="76">
        <f>2669.66+2650+36468.65+2036.69+8789+10451.14</f>
        <v>63065.14</v>
      </c>
      <c r="F25" s="98">
        <f>9551+15000</f>
        <v>24551</v>
      </c>
      <c r="G25" s="8"/>
      <c r="H25" s="76">
        <f>8908.21+29494.35+7665+916.4+8789</f>
        <v>55772.959999999999</v>
      </c>
      <c r="I25" s="72"/>
      <c r="J25" s="76">
        <f>2865+21340.13+2728+40+5008.4+50</f>
        <v>32031.53</v>
      </c>
      <c r="K25" s="72"/>
      <c r="L25" s="76">
        <f>6370+19226.45+213.41+11262+4444.57</f>
        <v>41516.43</v>
      </c>
    </row>
    <row r="26" spans="2:18" x14ac:dyDescent="0.2">
      <c r="C26" s="24" t="s">
        <v>27</v>
      </c>
      <c r="E26" s="76">
        <f>50+100+50+256+256+50+6872.04+4076.69</f>
        <v>11710.73</v>
      </c>
      <c r="F26" s="98"/>
      <c r="G26" s="8"/>
      <c r="H26" s="76">
        <f>40+275+150+1150.4+50</f>
        <v>1665.4</v>
      </c>
      <c r="I26" s="72"/>
      <c r="J26" s="76">
        <f>40+2158.94+50+150+50+256</f>
        <v>2704.94</v>
      </c>
      <c r="K26" s="72"/>
      <c r="L26" s="76">
        <f>1981+6843+350+128+4885+50</f>
        <v>14237</v>
      </c>
    </row>
    <row r="27" spans="2:18" ht="25.5" x14ac:dyDescent="0.2">
      <c r="C27" s="5" t="s">
        <v>28</v>
      </c>
      <c r="E27" s="76">
        <f>373.3+23.1+1792.5+1224</f>
        <v>3412.9</v>
      </c>
      <c r="F27" s="98"/>
      <c r="G27" s="8"/>
      <c r="H27" s="76">
        <f>524.4+1573.5+1217+2470</f>
        <v>5784.9</v>
      </c>
      <c r="I27" s="72"/>
      <c r="J27" s="76">
        <f>756.4+1062+2795+133.3+5951</f>
        <v>10697.7</v>
      </c>
      <c r="K27" s="72"/>
      <c r="L27" s="76">
        <f>2907.5+2332+3132</f>
        <v>8371.5</v>
      </c>
    </row>
    <row r="28" spans="2:18" x14ac:dyDescent="0.2">
      <c r="C28" s="24" t="s">
        <v>29</v>
      </c>
      <c r="E28" s="76">
        <v>247.6</v>
      </c>
      <c r="F28" s="99"/>
      <c r="G28" s="8"/>
      <c r="H28" s="76">
        <f>32+91.6</f>
        <v>123.6</v>
      </c>
      <c r="I28" s="72"/>
      <c r="J28" s="76">
        <v>592.20000000000005</v>
      </c>
      <c r="K28" s="72"/>
      <c r="L28" s="76">
        <v>292.8</v>
      </c>
    </row>
    <row r="29" spans="2:18" x14ac:dyDescent="0.2">
      <c r="B29" s="2" t="s">
        <v>30</v>
      </c>
      <c r="E29" s="80">
        <f>SUM(E12:E28)</f>
        <v>798531.93</v>
      </c>
      <c r="G29" s="25"/>
      <c r="H29" s="80">
        <f>SUM(H12:H28)</f>
        <v>592103.5</v>
      </c>
      <c r="I29" s="94"/>
      <c r="J29" s="80">
        <f>SUM(J12:J28)</f>
        <v>602779.33999999985</v>
      </c>
      <c r="K29" s="94"/>
      <c r="L29" s="80">
        <f>SUM(L12:L28)</f>
        <v>514362.89</v>
      </c>
    </row>
    <row r="30" spans="2:18" s="63" customFormat="1" x14ac:dyDescent="0.2">
      <c r="C30" s="24" t="s">
        <v>24</v>
      </c>
      <c r="D30" s="24"/>
      <c r="E30" s="81">
        <f>-F30</f>
        <v>-289685.02</v>
      </c>
      <c r="F30" s="98">
        <f>SUM(F12:F28)</f>
        <v>289685.02</v>
      </c>
      <c r="G30" s="64"/>
      <c r="H30" s="81">
        <f>-6046.16-9641.48-49381.16-12044.05-35656.17-82782.58</f>
        <v>-195551.6</v>
      </c>
      <c r="I30" s="81"/>
      <c r="J30" s="81">
        <f>-3409.9-4657.65-3181.01-1918.24-50376.39-24691.39-30701.45-78353.81</f>
        <v>-197289.84</v>
      </c>
      <c r="K30" s="81"/>
      <c r="L30" s="81">
        <f>-10495.34-46802.5-30795.16-16392.06-14185.2</f>
        <v>-118670.26</v>
      </c>
      <c r="P30" s="69"/>
      <c r="R30" s="69"/>
    </row>
    <row r="31" spans="2:18" x14ac:dyDescent="0.2">
      <c r="B31" s="2" t="s">
        <v>31</v>
      </c>
      <c r="E31" s="78">
        <f>E29+E30</f>
        <v>508846.91000000003</v>
      </c>
      <c r="F31" s="100"/>
      <c r="G31" s="25"/>
      <c r="H31" s="78">
        <f>H29+H30</f>
        <v>396551.9</v>
      </c>
      <c r="I31" s="94"/>
      <c r="J31" s="78">
        <f>J29+J30</f>
        <v>405489.49999999988</v>
      </c>
      <c r="K31" s="94"/>
      <c r="L31" s="78">
        <f>L29+L30</f>
        <v>395692.63</v>
      </c>
    </row>
    <row r="32" spans="2:18" ht="11.45" customHeight="1" x14ac:dyDescent="0.2">
      <c r="F32" s="101"/>
      <c r="G32" s="8"/>
      <c r="H32" s="76"/>
      <c r="I32" s="72"/>
      <c r="J32" s="76"/>
      <c r="K32" s="72"/>
      <c r="L32" s="76"/>
    </row>
    <row r="33" spans="2:12" x14ac:dyDescent="0.2">
      <c r="B33" s="2" t="s">
        <v>34</v>
      </c>
      <c r="E33" s="82">
        <v>-86379.74</v>
      </c>
      <c r="F33" s="72"/>
      <c r="G33" s="25"/>
      <c r="H33" s="82">
        <v>33327.26</v>
      </c>
      <c r="I33" s="105"/>
      <c r="J33" s="82">
        <v>-31232.57</v>
      </c>
      <c r="K33" s="105"/>
      <c r="L33" s="82">
        <v>9237.8700000000008</v>
      </c>
    </row>
    <row r="34" spans="2:12" ht="11.45" customHeight="1" x14ac:dyDescent="0.2">
      <c r="F34" s="72"/>
      <c r="G34" s="8"/>
      <c r="H34" s="76"/>
      <c r="I34" s="72"/>
      <c r="J34" s="76"/>
      <c r="K34" s="72"/>
      <c r="L34" s="76"/>
    </row>
    <row r="35" spans="2:12" ht="25.5" customHeight="1" thickBot="1" x14ac:dyDescent="0.25">
      <c r="B35" s="123" t="s">
        <v>36</v>
      </c>
      <c r="C35" s="123"/>
      <c r="E35" s="83">
        <f>E31+E33</f>
        <v>422467.17000000004</v>
      </c>
      <c r="F35" s="72"/>
      <c r="G35" s="8"/>
      <c r="H35" s="83">
        <f>H31+H33</f>
        <v>429879.16000000003</v>
      </c>
      <c r="I35" s="105"/>
      <c r="J35" s="83">
        <f>J31+J33</f>
        <v>374256.92999999988</v>
      </c>
      <c r="K35" s="105"/>
      <c r="L35" s="83">
        <f>L31+L33</f>
        <v>404930.5</v>
      </c>
    </row>
    <row r="36" spans="2:12" ht="11.45" customHeight="1" thickTop="1" x14ac:dyDescent="0.2">
      <c r="F36" s="72"/>
      <c r="G36" s="8"/>
      <c r="H36" s="76"/>
      <c r="I36" s="72"/>
      <c r="J36" s="76"/>
      <c r="K36" s="72"/>
      <c r="L36" s="76"/>
    </row>
    <row r="37" spans="2:12" ht="11.45" customHeight="1" x14ac:dyDescent="0.2">
      <c r="F37" s="72"/>
      <c r="G37" s="8"/>
      <c r="H37" s="76"/>
      <c r="I37" s="72"/>
      <c r="J37" s="76"/>
      <c r="K37" s="72"/>
      <c r="L37" s="76"/>
    </row>
    <row r="38" spans="2:12" x14ac:dyDescent="0.2">
      <c r="B38" s="2" t="s">
        <v>35</v>
      </c>
      <c r="E38" s="84">
        <f>E9-E35</f>
        <v>204478.68999999994</v>
      </c>
      <c r="F38" s="72"/>
      <c r="G38" s="8"/>
      <c r="H38" s="84">
        <f>H9-H35</f>
        <v>151059.75999999989</v>
      </c>
      <c r="I38" s="94"/>
      <c r="J38" s="84">
        <f>J9-J35</f>
        <v>142778.4800000001</v>
      </c>
      <c r="K38" s="94"/>
      <c r="L38" s="84">
        <f>L9-L35</f>
        <v>106956.63999999996</v>
      </c>
    </row>
    <row r="39" spans="2:12" s="58" customFormat="1" ht="11.45" customHeight="1" x14ac:dyDescent="0.2">
      <c r="E39" s="59">
        <f>E38/E9</f>
        <v>0.32615047493893645</v>
      </c>
      <c r="F39" s="102"/>
      <c r="G39" s="61"/>
      <c r="H39" s="59">
        <f>H38/H9</f>
        <v>0.26002692331235083</v>
      </c>
      <c r="I39" s="62"/>
      <c r="J39" s="59">
        <f>J38/J9</f>
        <v>0.27614835896829604</v>
      </c>
      <c r="K39" s="62"/>
      <c r="L39" s="59">
        <f>L38/L9</f>
        <v>0.20894574534535088</v>
      </c>
    </row>
    <row r="40" spans="2:12" ht="11.45" customHeight="1" x14ac:dyDescent="0.2">
      <c r="F40" s="72"/>
      <c r="G40" s="8"/>
      <c r="H40" s="29"/>
      <c r="I40" s="9"/>
      <c r="J40" s="29"/>
      <c r="K40" s="9"/>
      <c r="L40" s="29"/>
    </row>
    <row r="41" spans="2:12" x14ac:dyDescent="0.2">
      <c r="B41" s="2" t="s">
        <v>37</v>
      </c>
      <c r="F41" s="72"/>
      <c r="G41" s="8"/>
      <c r="H41" s="29"/>
      <c r="I41" s="9"/>
      <c r="J41" s="29"/>
      <c r="K41" s="9"/>
      <c r="L41" s="29"/>
    </row>
    <row r="42" spans="2:12" x14ac:dyDescent="0.2">
      <c r="C42" s="24" t="s">
        <v>38</v>
      </c>
      <c r="E42" s="76">
        <f>24860.11+11695.41</f>
        <v>36555.520000000004</v>
      </c>
      <c r="F42" s="72"/>
      <c r="G42" s="8"/>
      <c r="H42" s="76">
        <f>23822.37+11412.21</f>
        <v>35234.58</v>
      </c>
      <c r="I42" s="72"/>
      <c r="J42" s="76">
        <f>19538.22+6122.08</f>
        <v>25660.300000000003</v>
      </c>
      <c r="K42" s="72"/>
      <c r="L42" s="76">
        <f>122+17168.61+6641.03</f>
        <v>23931.64</v>
      </c>
    </row>
    <row r="43" spans="2:12" x14ac:dyDescent="0.2">
      <c r="C43" s="24" t="s">
        <v>39</v>
      </c>
      <c r="E43" s="76">
        <v>0</v>
      </c>
      <c r="F43" s="72"/>
      <c r="G43" s="8"/>
      <c r="H43" s="76">
        <v>0</v>
      </c>
      <c r="I43" s="72"/>
      <c r="J43" s="76">
        <v>0</v>
      </c>
      <c r="K43" s="72"/>
      <c r="L43" s="76">
        <v>0</v>
      </c>
    </row>
    <row r="44" spans="2:12" x14ac:dyDescent="0.2">
      <c r="C44" s="24" t="s">
        <v>40</v>
      </c>
      <c r="E44" s="76">
        <v>1055.4000000000001</v>
      </c>
      <c r="F44" s="72"/>
      <c r="G44" s="8"/>
      <c r="H44" s="76">
        <v>1513</v>
      </c>
      <c r="I44" s="72"/>
      <c r="J44" s="76">
        <v>852.4</v>
      </c>
      <c r="K44" s="72"/>
      <c r="L44" s="76">
        <v>638.79999999999995</v>
      </c>
    </row>
    <row r="45" spans="2:12" ht="27" customHeight="1" x14ac:dyDescent="0.2">
      <c r="B45" s="123" t="s">
        <v>41</v>
      </c>
      <c r="C45" s="124"/>
      <c r="E45" s="84">
        <f>SUM(E42:E44)</f>
        <v>37610.920000000006</v>
      </c>
      <c r="F45" s="72"/>
      <c r="G45" s="8"/>
      <c r="H45" s="84">
        <f>SUM(H42:H44)</f>
        <v>36747.58</v>
      </c>
      <c r="I45" s="94"/>
      <c r="J45" s="84">
        <f>SUM(J42:J44)</f>
        <v>26512.700000000004</v>
      </c>
      <c r="K45" s="94"/>
      <c r="L45" s="84">
        <f>SUM(L42:L44)</f>
        <v>24570.44</v>
      </c>
    </row>
    <row r="46" spans="2:12" ht="11.45" customHeight="1" x14ac:dyDescent="0.2">
      <c r="F46" s="72"/>
      <c r="G46" s="8"/>
      <c r="H46" s="76"/>
      <c r="I46" s="72"/>
      <c r="J46" s="76"/>
      <c r="K46" s="72"/>
      <c r="L46" s="76"/>
    </row>
    <row r="47" spans="2:12" ht="13.5" thickBot="1" x14ac:dyDescent="0.25">
      <c r="B47" s="2" t="s">
        <v>42</v>
      </c>
      <c r="E47" s="85">
        <f>E38-E45</f>
        <v>166867.76999999993</v>
      </c>
      <c r="F47" s="72"/>
      <c r="G47" s="8"/>
      <c r="H47" s="85">
        <f>H38-H45</f>
        <v>114312.17999999989</v>
      </c>
      <c r="I47" s="89"/>
      <c r="J47" s="85">
        <f>J38-J45</f>
        <v>116265.78000000009</v>
      </c>
      <c r="K47" s="89"/>
      <c r="L47" s="85">
        <f>L38-L45</f>
        <v>82386.199999999953</v>
      </c>
    </row>
    <row r="48" spans="2:12" s="58" customFormat="1" ht="11.45" customHeight="1" thickTop="1" x14ac:dyDescent="0.2">
      <c r="E48" s="59">
        <f>E47/E9</f>
        <v>0.2661597765395563</v>
      </c>
      <c r="F48" s="102"/>
      <c r="G48" s="61"/>
      <c r="H48" s="59">
        <f>H47/H9</f>
        <v>0.19677142650383952</v>
      </c>
      <c r="I48" s="62"/>
      <c r="J48" s="59">
        <f>J47/J9</f>
        <v>0.22487005290411366</v>
      </c>
      <c r="K48" s="62"/>
      <c r="L48" s="59">
        <f>L47/L9</f>
        <v>0.16094602415680917</v>
      </c>
    </row>
    <row r="49" spans="2:12" ht="11.45" customHeight="1" x14ac:dyDescent="0.2">
      <c r="F49" s="72"/>
      <c r="G49" s="8"/>
      <c r="H49" s="29"/>
      <c r="I49" s="9"/>
      <c r="J49" s="29"/>
      <c r="K49" s="9"/>
      <c r="L49" s="29"/>
    </row>
    <row r="50" spans="2:12" x14ac:dyDescent="0.2">
      <c r="B50" s="2" t="s">
        <v>43</v>
      </c>
      <c r="F50" s="72"/>
      <c r="G50" s="8"/>
      <c r="H50" s="29"/>
      <c r="I50" s="9"/>
      <c r="J50" s="29"/>
      <c r="K50" s="9"/>
      <c r="L50" s="29"/>
    </row>
    <row r="51" spans="2:12" ht="25.5" x14ac:dyDescent="0.2">
      <c r="C51" s="5" t="s">
        <v>44</v>
      </c>
      <c r="E51" s="76">
        <v>5811</v>
      </c>
      <c r="F51" s="72"/>
      <c r="G51" s="8"/>
      <c r="H51" s="76">
        <v>5434</v>
      </c>
      <c r="I51" s="72"/>
      <c r="J51" s="76">
        <v>5540</v>
      </c>
      <c r="K51" s="72"/>
      <c r="L51" s="76">
        <v>4820</v>
      </c>
    </row>
    <row r="52" spans="2:12" x14ac:dyDescent="0.2">
      <c r="C52" s="24" t="s">
        <v>45</v>
      </c>
      <c r="E52" s="76">
        <v>0</v>
      </c>
      <c r="F52" s="72"/>
      <c r="G52" s="8"/>
      <c r="H52" s="76">
        <v>0</v>
      </c>
      <c r="I52" s="72"/>
      <c r="J52" s="76">
        <v>0</v>
      </c>
      <c r="K52" s="72"/>
      <c r="L52" s="76">
        <v>0</v>
      </c>
    </row>
    <row r="53" spans="2:12" x14ac:dyDescent="0.2">
      <c r="C53" s="24" t="s">
        <v>40</v>
      </c>
      <c r="E53" s="76">
        <v>0.14000000000000001</v>
      </c>
      <c r="F53" s="72"/>
      <c r="G53" s="8"/>
      <c r="H53" s="76">
        <v>308.75</v>
      </c>
      <c r="I53" s="72"/>
      <c r="J53" s="76">
        <v>400</v>
      </c>
      <c r="K53" s="72"/>
      <c r="L53" s="76">
        <v>279.51</v>
      </c>
    </row>
    <row r="54" spans="2:12" ht="26.25" customHeight="1" x14ac:dyDescent="0.2">
      <c r="B54" s="123" t="s">
        <v>46</v>
      </c>
      <c r="C54" s="124"/>
      <c r="E54" s="84">
        <f>SUM(E51:E53)</f>
        <v>5811.14</v>
      </c>
      <c r="F54" s="72"/>
      <c r="G54" s="8"/>
      <c r="H54" s="84">
        <f>SUM(H51:H53)</f>
        <v>5742.75</v>
      </c>
      <c r="I54" s="94"/>
      <c r="J54" s="84">
        <f>SUM(J51:J53)</f>
        <v>5940</v>
      </c>
      <c r="K54" s="94"/>
      <c r="L54" s="84">
        <f>SUM(L51:L53)</f>
        <v>5099.51</v>
      </c>
    </row>
    <row r="55" spans="2:12" x14ac:dyDescent="0.2">
      <c r="E55" s="74"/>
      <c r="F55" s="72"/>
      <c r="G55" s="8"/>
      <c r="H55" s="74"/>
      <c r="I55" s="94"/>
      <c r="J55" s="74"/>
      <c r="K55" s="94"/>
      <c r="L55" s="74"/>
    </row>
    <row r="56" spans="2:12" ht="26.25" customHeight="1" x14ac:dyDescent="0.2">
      <c r="B56" s="123" t="s">
        <v>60</v>
      </c>
      <c r="C56" s="124"/>
      <c r="F56" s="72"/>
      <c r="G56" s="8"/>
      <c r="H56" s="76"/>
      <c r="I56" s="72"/>
      <c r="J56" s="76"/>
      <c r="K56" s="72"/>
      <c r="L56" s="76"/>
    </row>
    <row r="57" spans="2:12" x14ac:dyDescent="0.2">
      <c r="C57" s="24" t="s">
        <v>48</v>
      </c>
      <c r="E57" s="76">
        <f>36458+4557.28+1188</f>
        <v>42203.28</v>
      </c>
      <c r="F57" s="72"/>
      <c r="G57" s="8"/>
      <c r="H57" s="76">
        <f>38320+4790.03+1087</f>
        <v>44197.03</v>
      </c>
      <c r="I57" s="72"/>
      <c r="J57" s="76">
        <f>34765+4345.66</f>
        <v>39110.660000000003</v>
      </c>
      <c r="K57" s="72"/>
      <c r="L57" s="76">
        <f>34414+4301.78</f>
        <v>38715.78</v>
      </c>
    </row>
    <row r="58" spans="2:12" x14ac:dyDescent="0.2">
      <c r="C58" s="24" t="s">
        <v>49</v>
      </c>
      <c r="E58" s="76">
        <v>1548</v>
      </c>
      <c r="F58" s="72"/>
      <c r="G58" s="8"/>
      <c r="H58" s="76">
        <v>1568</v>
      </c>
      <c r="I58" s="72"/>
      <c r="J58" s="76">
        <v>1733.5</v>
      </c>
      <c r="K58" s="72"/>
      <c r="L58" s="76">
        <v>2530.5</v>
      </c>
    </row>
    <row r="59" spans="2:12" x14ac:dyDescent="0.2">
      <c r="C59" s="24" t="s">
        <v>50</v>
      </c>
      <c r="E59" s="76">
        <v>3628.8</v>
      </c>
      <c r="F59" s="72"/>
      <c r="G59" s="8"/>
      <c r="H59" s="76">
        <v>3597.46</v>
      </c>
      <c r="I59" s="72"/>
      <c r="J59" s="76">
        <v>4024.18</v>
      </c>
      <c r="K59" s="72"/>
      <c r="L59" s="76">
        <f>4105.76+844</f>
        <v>4949.76</v>
      </c>
    </row>
    <row r="60" spans="2:12" x14ac:dyDescent="0.2">
      <c r="C60" s="24" t="s">
        <v>51</v>
      </c>
      <c r="E60" s="76">
        <v>144</v>
      </c>
      <c r="F60" s="72"/>
      <c r="G60" s="8"/>
      <c r="H60" s="76">
        <v>247.12</v>
      </c>
      <c r="I60" s="72"/>
      <c r="J60" s="76">
        <v>0</v>
      </c>
      <c r="K60" s="72"/>
      <c r="L60" s="76">
        <v>315.60000000000002</v>
      </c>
    </row>
    <row r="61" spans="2:12" x14ac:dyDescent="0.2">
      <c r="C61" s="24" t="s">
        <v>52</v>
      </c>
      <c r="E61" s="76">
        <v>5939.79</v>
      </c>
      <c r="F61" s="72"/>
      <c r="G61" s="8"/>
      <c r="H61" s="76">
        <v>5824.87</v>
      </c>
      <c r="I61" s="72"/>
      <c r="J61" s="76">
        <v>6562.71</v>
      </c>
      <c r="K61" s="72"/>
      <c r="L61" s="76">
        <v>7043.03</v>
      </c>
    </row>
    <row r="62" spans="2:12" x14ac:dyDescent="0.2">
      <c r="C62" s="24" t="s">
        <v>53</v>
      </c>
      <c r="E62" s="76">
        <v>624.32000000000005</v>
      </c>
      <c r="F62" s="72"/>
      <c r="G62" s="8"/>
      <c r="H62" s="76">
        <v>569.91999999999996</v>
      </c>
      <c r="I62" s="72"/>
      <c r="J62" s="76">
        <v>282.72000000000003</v>
      </c>
      <c r="K62" s="72"/>
      <c r="L62" s="76">
        <f>104+143.52</f>
        <v>247.52</v>
      </c>
    </row>
    <row r="63" spans="2:12" x14ac:dyDescent="0.2">
      <c r="C63" s="24" t="s">
        <v>54</v>
      </c>
      <c r="E63" s="76">
        <v>2390.1999999999998</v>
      </c>
      <c r="F63" s="72"/>
      <c r="G63" s="8"/>
      <c r="H63" s="76">
        <v>5063.2</v>
      </c>
      <c r="I63" s="72"/>
      <c r="J63" s="76">
        <v>3875.6</v>
      </c>
      <c r="K63" s="72"/>
      <c r="L63" s="76">
        <v>1729.81</v>
      </c>
    </row>
    <row r="64" spans="2:12" ht="25.5" x14ac:dyDescent="0.2">
      <c r="C64" s="5" t="s">
        <v>55</v>
      </c>
      <c r="E64" s="76">
        <v>684.59</v>
      </c>
      <c r="F64" s="72"/>
      <c r="G64" s="8"/>
      <c r="H64" s="76">
        <v>32</v>
      </c>
      <c r="I64" s="72"/>
      <c r="J64" s="76">
        <f>321.6+2979.2</f>
        <v>3300.7999999999997</v>
      </c>
      <c r="K64" s="72"/>
      <c r="L64" s="76">
        <v>183.2</v>
      </c>
    </row>
    <row r="65" spans="2:16" x14ac:dyDescent="0.2">
      <c r="C65" s="24" t="s">
        <v>56</v>
      </c>
      <c r="E65" s="76">
        <v>141.25</v>
      </c>
      <c r="F65" s="72"/>
      <c r="G65" s="8"/>
      <c r="H65" s="76">
        <v>355.74</v>
      </c>
      <c r="I65" s="72"/>
      <c r="J65" s="76">
        <v>1211.01</v>
      </c>
      <c r="K65" s="72"/>
      <c r="L65" s="76">
        <v>293.16000000000003</v>
      </c>
    </row>
    <row r="66" spans="2:16" x14ac:dyDescent="0.2">
      <c r="C66" s="24" t="s">
        <v>91</v>
      </c>
      <c r="E66" s="76">
        <v>6177.91</v>
      </c>
      <c r="F66" s="72"/>
      <c r="G66" s="8"/>
      <c r="H66" s="76">
        <f>15458.34+400</f>
        <v>15858.34</v>
      </c>
      <c r="I66" s="72"/>
      <c r="J66" s="76">
        <f>560+4360.32</f>
        <v>4920.32</v>
      </c>
      <c r="K66" s="72"/>
      <c r="L66" s="76">
        <f>400+965.5</f>
        <v>1365.5</v>
      </c>
    </row>
    <row r="67" spans="2:16" x14ac:dyDescent="0.2">
      <c r="C67" s="24" t="s">
        <v>57</v>
      </c>
      <c r="E67" s="76">
        <v>1065</v>
      </c>
      <c r="F67" s="72"/>
      <c r="G67" s="8"/>
      <c r="H67" s="76">
        <v>1207</v>
      </c>
      <c r="I67" s="72"/>
      <c r="J67" s="76">
        <v>923</v>
      </c>
      <c r="K67" s="72"/>
      <c r="L67" s="76">
        <v>568</v>
      </c>
    </row>
    <row r="68" spans="2:16" x14ac:dyDescent="0.2">
      <c r="C68" s="24" t="s">
        <v>58</v>
      </c>
      <c r="E68" s="76">
        <v>1550</v>
      </c>
      <c r="F68" s="72"/>
      <c r="G68" s="8"/>
      <c r="H68" s="76">
        <v>1310.75</v>
      </c>
      <c r="I68" s="72"/>
      <c r="J68" s="76">
        <v>1045.5</v>
      </c>
      <c r="K68" s="72"/>
      <c r="L68" s="76">
        <v>1324.5</v>
      </c>
    </row>
    <row r="69" spans="2:16" x14ac:dyDescent="0.2">
      <c r="C69" s="24" t="s">
        <v>40</v>
      </c>
      <c r="E69" s="76">
        <v>0</v>
      </c>
      <c r="F69" s="72"/>
      <c r="G69" s="8"/>
      <c r="H69" s="76">
        <f>319.2</f>
        <v>319.2</v>
      </c>
      <c r="I69" s="72"/>
      <c r="J69" s="76">
        <v>225.12</v>
      </c>
      <c r="K69" s="72"/>
      <c r="L69" s="76">
        <v>0</v>
      </c>
    </row>
    <row r="70" spans="2:16" ht="25.5" customHeight="1" x14ac:dyDescent="0.2">
      <c r="B70" s="123" t="s">
        <v>59</v>
      </c>
      <c r="C70" s="124"/>
      <c r="E70" s="84">
        <f>SUM(E57:E69)</f>
        <v>66097.14</v>
      </c>
      <c r="F70" s="72"/>
      <c r="G70" s="25"/>
      <c r="H70" s="84">
        <f>SUM(H57:H69)</f>
        <v>80150.62999999999</v>
      </c>
      <c r="I70" s="94"/>
      <c r="J70" s="84">
        <f>SUM(J57:J69)</f>
        <v>67215.12</v>
      </c>
      <c r="K70" s="94"/>
      <c r="L70" s="84">
        <f>SUM(L57:L69)</f>
        <v>59266.359999999993</v>
      </c>
      <c r="O70" s="29"/>
    </row>
    <row r="71" spans="2:16" ht="11.45" customHeight="1" x14ac:dyDescent="0.2">
      <c r="F71" s="72"/>
      <c r="G71" s="8"/>
      <c r="H71" s="76"/>
      <c r="I71" s="72"/>
      <c r="J71" s="76"/>
      <c r="K71" s="72"/>
      <c r="L71" s="76"/>
    </row>
    <row r="72" spans="2:16" ht="13.5" thickBot="1" x14ac:dyDescent="0.25">
      <c r="B72" s="2" t="s">
        <v>61</v>
      </c>
      <c r="E72" s="77">
        <f>E47+E54-E70</f>
        <v>106581.76999999995</v>
      </c>
      <c r="F72" s="72"/>
      <c r="G72" s="25"/>
      <c r="H72" s="77">
        <f>H47+H54-H70</f>
        <v>39904.299999999901</v>
      </c>
      <c r="I72" s="94"/>
      <c r="J72" s="77">
        <f>J47+J54-J70</f>
        <v>54990.660000000091</v>
      </c>
      <c r="K72" s="94"/>
      <c r="L72" s="77">
        <f>L47+L54-L70</f>
        <v>28219.349999999955</v>
      </c>
      <c r="P72" s="6"/>
    </row>
    <row r="73" spans="2:16" ht="11.45" customHeight="1" thickTop="1" x14ac:dyDescent="0.2">
      <c r="E73" s="86"/>
      <c r="F73" s="72"/>
      <c r="G73" s="8"/>
      <c r="H73" s="86"/>
      <c r="I73" s="105"/>
      <c r="J73" s="86"/>
      <c r="K73" s="105"/>
      <c r="L73" s="86"/>
    </row>
    <row r="74" spans="2:16" ht="24.75" customHeight="1" x14ac:dyDescent="0.2">
      <c r="B74" s="123" t="s">
        <v>62</v>
      </c>
      <c r="C74" s="124"/>
      <c r="F74" s="72"/>
      <c r="G74" s="8"/>
      <c r="H74" s="76"/>
      <c r="I74" s="72"/>
      <c r="J74" s="76"/>
      <c r="K74" s="72"/>
      <c r="L74" s="76"/>
    </row>
    <row r="75" spans="2:16" x14ac:dyDescent="0.2">
      <c r="C75" s="24" t="s">
        <v>63</v>
      </c>
      <c r="E75" s="76">
        <v>0.86</v>
      </c>
      <c r="F75" s="72"/>
      <c r="G75" s="8"/>
      <c r="H75" s="76">
        <v>93.02</v>
      </c>
      <c r="I75" s="72"/>
      <c r="J75" s="76">
        <v>68.040000000000006</v>
      </c>
      <c r="K75" s="72"/>
      <c r="L75" s="76">
        <v>1.28</v>
      </c>
    </row>
    <row r="76" spans="2:16" x14ac:dyDescent="0.2">
      <c r="C76" s="24" t="s">
        <v>74</v>
      </c>
      <c r="E76" s="76">
        <v>20000</v>
      </c>
      <c r="F76" s="72"/>
      <c r="G76" s="25"/>
      <c r="H76" s="76">
        <v>0</v>
      </c>
      <c r="I76" s="72"/>
      <c r="J76" s="76">
        <v>20000</v>
      </c>
      <c r="K76" s="72"/>
      <c r="L76" s="76">
        <v>20000</v>
      </c>
    </row>
    <row r="77" spans="2:16" x14ac:dyDescent="0.2">
      <c r="C77" s="24" t="s">
        <v>64</v>
      </c>
      <c r="E77" s="76">
        <v>0</v>
      </c>
      <c r="F77" s="72"/>
      <c r="G77" s="25"/>
      <c r="H77" s="76">
        <v>0</v>
      </c>
      <c r="I77" s="72"/>
      <c r="J77" s="76">
        <v>7617.98</v>
      </c>
      <c r="K77" s="72"/>
      <c r="L77" s="76">
        <v>0</v>
      </c>
    </row>
    <row r="78" spans="2:16" x14ac:dyDescent="0.2">
      <c r="C78" s="24" t="s">
        <v>99</v>
      </c>
      <c r="E78" s="76">
        <v>4650</v>
      </c>
      <c r="F78" s="72"/>
      <c r="G78" s="25"/>
      <c r="H78" s="76">
        <v>0</v>
      </c>
      <c r="I78" s="72"/>
      <c r="J78" s="76">
        <v>7617.98</v>
      </c>
      <c r="K78" s="72"/>
      <c r="L78" s="76">
        <v>0</v>
      </c>
    </row>
    <row r="79" spans="2:16" x14ac:dyDescent="0.2">
      <c r="C79" s="24" t="s">
        <v>65</v>
      </c>
      <c r="E79" s="76">
        <v>0</v>
      </c>
      <c r="F79" s="72"/>
      <c r="G79" s="8"/>
      <c r="H79" s="76">
        <v>0.25</v>
      </c>
      <c r="I79" s="72"/>
      <c r="J79" s="76">
        <v>0</v>
      </c>
      <c r="K79" s="72"/>
      <c r="L79" s="76">
        <v>0</v>
      </c>
    </row>
    <row r="80" spans="2:16" ht="26.25" customHeight="1" thickBot="1" x14ac:dyDescent="0.25">
      <c r="B80" s="123" t="s">
        <v>66</v>
      </c>
      <c r="C80" s="124"/>
      <c r="E80" s="77">
        <f>SUM(E75:E79)</f>
        <v>24650.86</v>
      </c>
      <c r="F80" s="72"/>
      <c r="G80" s="25"/>
      <c r="H80" s="77">
        <f>SUM(H75:H79)</f>
        <v>93.27</v>
      </c>
      <c r="I80" s="94"/>
      <c r="J80" s="77">
        <f>SUM(J75:J79)</f>
        <v>35304</v>
      </c>
      <c r="K80" s="94"/>
      <c r="L80" s="77">
        <f>SUM(L75:L79)</f>
        <v>20001.28</v>
      </c>
    </row>
    <row r="81" spans="1:15" ht="11.45" customHeight="1" thickTop="1" x14ac:dyDescent="0.2">
      <c r="E81" s="74"/>
      <c r="F81" s="72"/>
      <c r="G81" s="8"/>
      <c r="H81" s="74"/>
      <c r="I81" s="94"/>
      <c r="J81" s="74"/>
      <c r="K81" s="94"/>
      <c r="L81" s="74"/>
    </row>
    <row r="82" spans="1:15" ht="11.45" customHeight="1" x14ac:dyDescent="0.2">
      <c r="F82" s="72"/>
      <c r="G82" s="8"/>
      <c r="H82" s="76"/>
      <c r="I82" s="72"/>
      <c r="J82" s="76"/>
      <c r="K82" s="72"/>
      <c r="L82" s="76"/>
    </row>
    <row r="83" spans="1:15" ht="13.5" thickBot="1" x14ac:dyDescent="0.25">
      <c r="A83" s="9"/>
      <c r="B83" s="44" t="s">
        <v>67</v>
      </c>
      <c r="D83" s="9"/>
      <c r="E83" s="87">
        <f>E72-E80</f>
        <v>81930.909999999945</v>
      </c>
      <c r="F83" s="72"/>
      <c r="G83" s="25"/>
      <c r="H83" s="87">
        <f>H72-H80</f>
        <v>39811.029999999904</v>
      </c>
      <c r="I83" s="94"/>
      <c r="J83" s="87">
        <f>J72-J80</f>
        <v>19686.660000000091</v>
      </c>
      <c r="K83" s="94"/>
      <c r="L83" s="87">
        <f>L72-L80</f>
        <v>8218.0699999999561</v>
      </c>
      <c r="O83" s="29"/>
    </row>
    <row r="84" spans="1:15" ht="11.45" customHeight="1" thickTop="1" x14ac:dyDescent="0.2">
      <c r="B84" s="46"/>
      <c r="C84" s="46"/>
      <c r="D84" s="46"/>
      <c r="E84" s="88"/>
      <c r="F84" s="103"/>
      <c r="G84" s="48"/>
      <c r="H84" s="88"/>
      <c r="I84" s="78"/>
      <c r="J84" s="88"/>
      <c r="K84" s="78"/>
      <c r="L84" s="88"/>
    </row>
    <row r="85" spans="1:15" ht="11.45" customHeight="1" x14ac:dyDescent="0.2">
      <c r="F85" s="72"/>
      <c r="G85" s="67"/>
      <c r="H85" s="76"/>
      <c r="I85" s="72"/>
      <c r="J85" s="76"/>
      <c r="K85" s="72"/>
      <c r="L85" s="76"/>
    </row>
    <row r="86" spans="1:15" ht="15.75" x14ac:dyDescent="0.2">
      <c r="B86" s="16"/>
      <c r="C86" s="66" t="s">
        <v>90</v>
      </c>
      <c r="D86" s="40"/>
      <c r="E86" s="89"/>
      <c r="F86" s="89"/>
      <c r="G86" s="65"/>
      <c r="H86" s="89"/>
      <c r="I86" s="72"/>
      <c r="J86" s="89"/>
      <c r="K86" s="72"/>
      <c r="L86" s="89"/>
    </row>
    <row r="87" spans="1:15" ht="10.5" customHeight="1" x14ac:dyDescent="0.2">
      <c r="B87" s="16"/>
      <c r="C87" s="66"/>
      <c r="D87" s="40"/>
      <c r="E87" s="89"/>
      <c r="F87" s="89"/>
      <c r="G87" s="65"/>
      <c r="H87" s="89"/>
      <c r="I87" s="72"/>
      <c r="J87" s="89"/>
      <c r="K87" s="72"/>
      <c r="L87" s="89"/>
    </row>
    <row r="88" spans="1:15" x14ac:dyDescent="0.2">
      <c r="B88" s="2" t="s">
        <v>68</v>
      </c>
      <c r="E88" s="90" t="s">
        <v>0</v>
      </c>
      <c r="F88" s="104"/>
      <c r="G88" s="52"/>
      <c r="H88" s="90" t="s">
        <v>0</v>
      </c>
      <c r="I88" s="104"/>
      <c r="J88" s="90" t="s">
        <v>0</v>
      </c>
      <c r="K88" s="104"/>
      <c r="L88" s="90" t="s">
        <v>0</v>
      </c>
    </row>
    <row r="89" spans="1:15" x14ac:dyDescent="0.2">
      <c r="C89" s="24" t="s">
        <v>69</v>
      </c>
      <c r="E89" s="76">
        <v>2514.5</v>
      </c>
      <c r="F89" s="72"/>
      <c r="G89" s="8"/>
      <c r="H89" s="76">
        <v>2697.5</v>
      </c>
      <c r="I89" s="72"/>
      <c r="J89" s="76">
        <v>1897.5</v>
      </c>
      <c r="K89" s="72"/>
      <c r="L89" s="76">
        <v>407</v>
      </c>
    </row>
    <row r="90" spans="1:15" x14ac:dyDescent="0.2">
      <c r="C90" s="4" t="s">
        <v>1</v>
      </c>
      <c r="E90" s="76">
        <v>143913.51</v>
      </c>
      <c r="F90" s="72"/>
      <c r="G90" s="8"/>
      <c r="H90" s="76">
        <v>61461.32</v>
      </c>
      <c r="I90" s="72"/>
      <c r="J90" s="76">
        <v>60598.61</v>
      </c>
      <c r="K90" s="72"/>
      <c r="L90" s="76">
        <v>31842.31</v>
      </c>
    </row>
    <row r="91" spans="1:15" x14ac:dyDescent="0.2">
      <c r="C91" s="4" t="s">
        <v>2</v>
      </c>
      <c r="E91" s="76">
        <v>93014.61</v>
      </c>
      <c r="F91" s="72"/>
      <c r="G91" s="8"/>
      <c r="H91" s="76">
        <v>59002.15</v>
      </c>
      <c r="I91" s="72"/>
      <c r="J91" s="76">
        <v>17762</v>
      </c>
      <c r="K91" s="72"/>
      <c r="L91" s="76">
        <v>58954.29</v>
      </c>
    </row>
    <row r="92" spans="1:15" x14ac:dyDescent="0.2">
      <c r="B92" s="2" t="s">
        <v>70</v>
      </c>
      <c r="E92" s="84">
        <f>SUM(E89:E91)</f>
        <v>239442.62</v>
      </c>
      <c r="F92" s="94"/>
      <c r="G92" s="25"/>
      <c r="H92" s="84">
        <f>SUM(H89:H91)</f>
        <v>123160.97</v>
      </c>
      <c r="I92" s="94"/>
      <c r="J92" s="84">
        <f>SUM(J89:J91)</f>
        <v>80258.11</v>
      </c>
      <c r="K92" s="94"/>
      <c r="L92" s="84">
        <f>SUM(L89:L91)</f>
        <v>91203.6</v>
      </c>
    </row>
    <row r="93" spans="1:15" ht="11.45" customHeight="1" x14ac:dyDescent="0.2">
      <c r="F93" s="72"/>
      <c r="G93" s="8"/>
      <c r="H93" s="76"/>
      <c r="I93" s="72"/>
      <c r="J93" s="76"/>
      <c r="K93" s="72"/>
      <c r="L93" s="76"/>
    </row>
    <row r="94" spans="1:15" x14ac:dyDescent="0.2">
      <c r="B94" s="2" t="s">
        <v>71</v>
      </c>
      <c r="E94" s="91">
        <v>66459.460000000006</v>
      </c>
      <c r="F94" s="72"/>
      <c r="G94" s="8"/>
      <c r="H94" s="91">
        <v>59989.59</v>
      </c>
      <c r="I94" s="72"/>
      <c r="J94" s="91">
        <v>100789.92</v>
      </c>
      <c r="K94" s="72"/>
      <c r="L94" s="91">
        <v>119495.78</v>
      </c>
    </row>
    <row r="95" spans="1:15" ht="11.45" customHeight="1" x14ac:dyDescent="0.2">
      <c r="F95" s="72"/>
      <c r="G95" s="8"/>
      <c r="H95" s="76"/>
      <c r="I95" s="72"/>
      <c r="J95" s="76"/>
      <c r="K95" s="72"/>
      <c r="L95" s="76"/>
    </row>
    <row r="96" spans="1:15" x14ac:dyDescent="0.2">
      <c r="B96" s="2" t="s">
        <v>72</v>
      </c>
      <c r="F96" s="72"/>
      <c r="G96" s="8"/>
      <c r="H96" s="76"/>
      <c r="I96" s="72"/>
      <c r="J96" s="76"/>
      <c r="K96" s="72"/>
      <c r="L96" s="76"/>
    </row>
    <row r="97" spans="2:14" x14ac:dyDescent="0.2">
      <c r="C97" s="24" t="s">
        <v>73</v>
      </c>
      <c r="E97" s="76">
        <v>654724.04</v>
      </c>
      <c r="G97" s="8"/>
      <c r="H97" s="76">
        <v>568344.30000000005</v>
      </c>
      <c r="I97" s="72"/>
      <c r="J97" s="76">
        <v>601671.56000000006</v>
      </c>
      <c r="K97" s="72"/>
      <c r="L97" s="76">
        <v>570438.99</v>
      </c>
    </row>
    <row r="98" spans="2:14" x14ac:dyDescent="0.2">
      <c r="C98" s="24" t="s">
        <v>76</v>
      </c>
      <c r="E98" s="76">
        <v>326916.53000000003</v>
      </c>
      <c r="G98" s="8"/>
      <c r="H98" s="76">
        <v>327223.45</v>
      </c>
      <c r="I98" s="106"/>
      <c r="J98" s="76">
        <v>333782.07</v>
      </c>
      <c r="K98" s="106"/>
      <c r="L98" s="76">
        <v>311005.64</v>
      </c>
      <c r="N98" s="55"/>
    </row>
    <row r="99" spans="2:14" x14ac:dyDescent="0.2">
      <c r="C99" s="24" t="s">
        <v>75</v>
      </c>
      <c r="E99" s="76">
        <v>-253000</v>
      </c>
      <c r="G99" s="8"/>
      <c r="H99" s="76">
        <v>-233000</v>
      </c>
      <c r="I99" s="106"/>
      <c r="J99" s="76">
        <v>-233000</v>
      </c>
      <c r="K99" s="106"/>
      <c r="L99" s="76">
        <v>-213000</v>
      </c>
    </row>
    <row r="100" spans="2:14" x14ac:dyDescent="0.2">
      <c r="C100" s="24" t="s">
        <v>97</v>
      </c>
      <c r="E100" s="92">
        <f>1983.92+5131.18+3306.86</f>
        <v>10421.960000000001</v>
      </c>
      <c r="G100" s="8"/>
      <c r="H100" s="92">
        <f>68935.16+10877.58+13605.73+1983.92</f>
        <v>95402.39</v>
      </c>
      <c r="I100" s="106"/>
      <c r="J100" s="76">
        <v>0</v>
      </c>
      <c r="K100" s="106"/>
      <c r="L100" s="76">
        <v>0</v>
      </c>
    </row>
    <row r="101" spans="2:14" x14ac:dyDescent="0.2">
      <c r="C101" s="24" t="s">
        <v>77</v>
      </c>
      <c r="E101" s="92">
        <v>3100</v>
      </c>
      <c r="F101" s="92"/>
      <c r="G101" s="8"/>
      <c r="H101" s="92">
        <v>3100</v>
      </c>
      <c r="I101" s="72"/>
      <c r="J101" s="92">
        <v>3100</v>
      </c>
      <c r="K101" s="72"/>
      <c r="L101" s="92">
        <f>842.48+9296.94+22805.92+3100</f>
        <v>36045.339999999997</v>
      </c>
      <c r="N101" s="55"/>
    </row>
    <row r="102" spans="2:14" x14ac:dyDescent="0.2">
      <c r="B102" s="2" t="s">
        <v>78</v>
      </c>
      <c r="E102" s="93">
        <f>SUM(E97:E101)</f>
        <v>742162.53</v>
      </c>
      <c r="F102" s="89"/>
      <c r="G102" s="8"/>
      <c r="H102" s="93">
        <f>SUM(H97:H101)</f>
        <v>761070.14</v>
      </c>
      <c r="I102" s="72"/>
      <c r="J102" s="93">
        <f>SUM(J97:J101)</f>
        <v>705553.63000000012</v>
      </c>
      <c r="K102" s="72"/>
      <c r="L102" s="93">
        <f>SUM(L97:L101)</f>
        <v>704489.97</v>
      </c>
      <c r="N102" s="55"/>
    </row>
    <row r="103" spans="2:14" ht="11.45" customHeight="1" x14ac:dyDescent="0.2">
      <c r="G103" s="8"/>
      <c r="H103" s="76"/>
      <c r="I103" s="72"/>
      <c r="J103" s="76"/>
      <c r="K103" s="72"/>
      <c r="L103" s="76"/>
      <c r="N103" s="55"/>
    </row>
    <row r="104" spans="2:14" ht="13.5" thickBot="1" x14ac:dyDescent="0.25">
      <c r="B104" s="2" t="s">
        <v>79</v>
      </c>
      <c r="E104" s="77">
        <f>SUM(E102,E94,E92)</f>
        <v>1048064.61</v>
      </c>
      <c r="F104" s="94"/>
      <c r="G104" s="8"/>
      <c r="H104" s="77">
        <f>SUM(H102,H94,H92)</f>
        <v>944220.7</v>
      </c>
      <c r="I104" s="94"/>
      <c r="J104" s="77">
        <f>SUM(J102,J94,J92)</f>
        <v>886601.66000000015</v>
      </c>
      <c r="K104" s="94"/>
      <c r="L104" s="77">
        <f>SUM(L102,L94,L92)</f>
        <v>915189.35</v>
      </c>
      <c r="N104" s="55"/>
    </row>
    <row r="105" spans="2:14" ht="11.45" customHeight="1" thickTop="1" x14ac:dyDescent="0.2">
      <c r="E105" s="74"/>
      <c r="F105" s="74"/>
      <c r="G105" s="8"/>
      <c r="H105" s="74"/>
      <c r="I105" s="94"/>
      <c r="J105" s="74"/>
      <c r="K105" s="94"/>
      <c r="L105" s="74"/>
      <c r="N105" s="55"/>
    </row>
    <row r="106" spans="2:14" x14ac:dyDescent="0.2">
      <c r="B106" s="2" t="s">
        <v>80</v>
      </c>
      <c r="G106" s="8"/>
      <c r="H106" s="76"/>
      <c r="I106" s="72"/>
      <c r="J106" s="76"/>
      <c r="K106" s="72"/>
      <c r="L106" s="76"/>
      <c r="N106" s="55"/>
    </row>
    <row r="107" spans="2:14" x14ac:dyDescent="0.2">
      <c r="C107" s="24" t="s">
        <v>92</v>
      </c>
      <c r="E107" s="94">
        <v>100982.96</v>
      </c>
      <c r="F107" s="94"/>
      <c r="G107" s="25"/>
      <c r="H107" s="94">
        <v>79081.59</v>
      </c>
      <c r="I107" s="94"/>
      <c r="J107" s="94">
        <v>58776.08</v>
      </c>
      <c r="K107" s="94"/>
      <c r="L107" s="94">
        <v>56810.94</v>
      </c>
      <c r="N107" s="55"/>
    </row>
    <row r="108" spans="2:14" x14ac:dyDescent="0.2">
      <c r="C108" s="24" t="s">
        <v>82</v>
      </c>
      <c r="E108" s="76">
        <v>3784.69</v>
      </c>
      <c r="G108" s="8"/>
      <c r="H108" s="76">
        <v>3773.06</v>
      </c>
      <c r="I108" s="72"/>
      <c r="J108" s="76">
        <v>6270.56</v>
      </c>
      <c r="K108" s="72"/>
      <c r="L108" s="76">
        <f>684.38+1543+1900.65</f>
        <v>4128.0300000000007</v>
      </c>
    </row>
    <row r="109" spans="2:14" x14ac:dyDescent="0.2">
      <c r="C109" s="24" t="s">
        <v>83</v>
      </c>
      <c r="E109" s="76">
        <v>0</v>
      </c>
      <c r="G109" s="8"/>
      <c r="H109" s="76">
        <v>0</v>
      </c>
      <c r="I109" s="72"/>
      <c r="J109" s="76">
        <v>0</v>
      </c>
      <c r="K109" s="72"/>
      <c r="L109" s="76">
        <v>60000</v>
      </c>
    </row>
    <row r="110" spans="2:14" x14ac:dyDescent="0.2">
      <c r="B110" s="2" t="s">
        <v>84</v>
      </c>
      <c r="E110" s="84">
        <f>SUM(E107:E109)</f>
        <v>104767.65000000001</v>
      </c>
      <c r="F110" s="94"/>
      <c r="G110" s="25"/>
      <c r="H110" s="84">
        <f>SUM(H107:H109)</f>
        <v>82854.649999999994</v>
      </c>
      <c r="I110" s="94"/>
      <c r="J110" s="84">
        <f>SUM(J107:J109)</f>
        <v>65046.64</v>
      </c>
      <c r="K110" s="94"/>
      <c r="L110" s="84">
        <f>SUM(L107:L109)</f>
        <v>120938.97</v>
      </c>
    </row>
    <row r="111" spans="2:14" ht="11.45" customHeight="1" x14ac:dyDescent="0.2">
      <c r="E111" s="74"/>
      <c r="F111" s="74"/>
      <c r="G111" s="8"/>
      <c r="H111" s="74"/>
      <c r="I111" s="94"/>
      <c r="J111" s="74"/>
      <c r="K111" s="94"/>
      <c r="L111" s="74"/>
    </row>
    <row r="112" spans="2:14" x14ac:dyDescent="0.2">
      <c r="B112" s="2" t="s">
        <v>85</v>
      </c>
      <c r="G112" s="8"/>
      <c r="H112" s="76"/>
      <c r="I112" s="72"/>
      <c r="J112" s="76"/>
      <c r="K112" s="72"/>
      <c r="L112" s="76"/>
    </row>
    <row r="113" spans="2:17" x14ac:dyDescent="0.2">
      <c r="C113" s="24" t="s">
        <v>86</v>
      </c>
      <c r="E113" s="76">
        <v>861366.05</v>
      </c>
      <c r="G113" s="8"/>
      <c r="H113" s="76">
        <v>821555.02</v>
      </c>
      <c r="I113" s="72"/>
      <c r="J113" s="76">
        <v>794250.38</v>
      </c>
      <c r="K113" s="72"/>
      <c r="L113" s="76">
        <f>714704.71+79430.31-8102.68</f>
        <v>786032.34</v>
      </c>
    </row>
    <row r="114" spans="2:17" x14ac:dyDescent="0.2">
      <c r="C114" s="24" t="s">
        <v>87</v>
      </c>
      <c r="E114" s="76">
        <f>E83</f>
        <v>81930.909999999945</v>
      </c>
      <c r="G114" s="8"/>
      <c r="H114" s="76">
        <f>H83</f>
        <v>39811.029999999904</v>
      </c>
      <c r="I114" s="72"/>
      <c r="J114" s="76">
        <f>J83</f>
        <v>19686.660000000091</v>
      </c>
      <c r="K114" s="72"/>
      <c r="L114" s="76">
        <f>L83</f>
        <v>8218.0699999999561</v>
      </c>
    </row>
    <row r="115" spans="2:17" ht="13.5" thickBot="1" x14ac:dyDescent="0.25">
      <c r="B115" s="2" t="s">
        <v>88</v>
      </c>
      <c r="E115" s="77">
        <f>SUM(E113:E114)</f>
        <v>943296.96</v>
      </c>
      <c r="F115" s="94"/>
      <c r="G115" s="8"/>
      <c r="H115" s="77">
        <f>SUM(H113:H114)</f>
        <v>861366.04999999993</v>
      </c>
      <c r="I115" s="94"/>
      <c r="J115" s="77">
        <f>SUM(J113:J114)</f>
        <v>813937.04</v>
      </c>
      <c r="K115" s="94"/>
      <c r="L115" s="77">
        <f>SUM(L113:L114)</f>
        <v>794250.40999999992</v>
      </c>
      <c r="P115" s="29"/>
      <c r="Q115" s="29"/>
    </row>
    <row r="116" spans="2:17" ht="11.45" customHeight="1" thickTop="1" x14ac:dyDescent="0.2">
      <c r="E116" s="74"/>
      <c r="F116" s="74"/>
      <c r="G116" s="8"/>
      <c r="H116" s="74"/>
      <c r="I116" s="94"/>
      <c r="J116" s="74"/>
      <c r="K116" s="94"/>
      <c r="L116" s="74"/>
    </row>
    <row r="117" spans="2:17" ht="13.5" thickBot="1" x14ac:dyDescent="0.25">
      <c r="B117" s="2" t="s">
        <v>89</v>
      </c>
      <c r="E117" s="77">
        <f>E110+E115</f>
        <v>1048064.61</v>
      </c>
      <c r="F117" s="94"/>
      <c r="G117" s="8"/>
      <c r="H117" s="77">
        <f>H110+H115</f>
        <v>944220.7</v>
      </c>
      <c r="I117" s="94"/>
      <c r="J117" s="77">
        <f>J110+J115</f>
        <v>878983.68000000005</v>
      </c>
      <c r="K117" s="94"/>
      <c r="L117" s="77">
        <f>L110+L115</f>
        <v>915189.37999999989</v>
      </c>
    </row>
    <row r="118" spans="2:17" ht="11.45" customHeight="1" thickTop="1" x14ac:dyDescent="0.2">
      <c r="E118" s="74"/>
      <c r="F118" s="74"/>
      <c r="G118" s="8"/>
      <c r="H118" s="20"/>
      <c r="I118" s="41"/>
      <c r="J118" s="20"/>
      <c r="K118" s="41"/>
      <c r="L118" s="20"/>
    </row>
    <row r="119" spans="2:17" ht="11.45" customHeight="1" x14ac:dyDescent="0.2">
      <c r="I119" s="9"/>
      <c r="K119" s="9"/>
    </row>
  </sheetData>
  <mergeCells count="7">
    <mergeCell ref="B70:C70"/>
    <mergeCell ref="B74:C74"/>
    <mergeCell ref="B80:C80"/>
    <mergeCell ref="B35:C35"/>
    <mergeCell ref="B45:C45"/>
    <mergeCell ref="B54:C54"/>
    <mergeCell ref="B56:C56"/>
  </mergeCells>
  <phoneticPr fontId="2" type="noConversion"/>
  <pageMargins left="0.98425196850393704" right="0.31496062992125984" top="0.74803149606299213" bottom="0.74803149606299213" header="0" footer="0"/>
  <pageSetup paperSize="9" scale="85" fitToHeight="0" orientation="portrait" r:id="rId1"/>
  <headerFooter alignWithMargins="0"/>
  <rowBreaks count="2" manualBreakCount="2">
    <brk id="55" min="1" max="11" man="1"/>
    <brk id="118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opLeftCell="A118" workbookViewId="0">
      <selection activeCell="A121" sqref="A121:XFD134"/>
    </sheetView>
  </sheetViews>
  <sheetFormatPr defaultRowHeight="12.75" x14ac:dyDescent="0.2"/>
  <cols>
    <col min="1" max="1" width="2.28515625" style="4" customWidth="1"/>
    <col min="2" max="2" width="3.85546875" style="4" customWidth="1"/>
    <col min="3" max="3" width="45.140625" style="4" customWidth="1"/>
    <col min="4" max="4" width="1.7109375" style="4" customWidth="1"/>
    <col min="5" max="5" width="7.7109375" style="4" customWidth="1"/>
    <col min="6" max="6" width="10.140625" style="4" bestFit="1" customWidth="1"/>
    <col min="7" max="7" width="1.7109375" style="4" customWidth="1"/>
    <col min="8" max="8" width="7.7109375" style="4" customWidth="1"/>
    <col min="9" max="9" width="1.7109375" style="4" customWidth="1"/>
    <col min="10" max="10" width="7.7109375" style="4" customWidth="1"/>
    <col min="11" max="11" width="1.7109375" style="4" customWidth="1"/>
    <col min="12" max="12" width="7.7109375" style="4" customWidth="1"/>
    <col min="13" max="13" width="1.7109375" style="4" customWidth="1"/>
    <col min="14" max="14" width="9.140625" style="4"/>
  </cols>
  <sheetData>
    <row r="1" spans="1:12" x14ac:dyDescent="0.2">
      <c r="C1" s="15" t="s">
        <v>32</v>
      </c>
      <c r="D1" s="9"/>
      <c r="E1" s="9"/>
      <c r="F1" s="9"/>
      <c r="G1" s="9"/>
      <c r="H1" s="9"/>
    </row>
    <row r="2" spans="1:12" ht="16.5" thickBot="1" x14ac:dyDescent="0.25">
      <c r="B2" s="16"/>
      <c r="C2" s="17" t="s">
        <v>100</v>
      </c>
      <c r="D2" s="18"/>
      <c r="E2" s="18"/>
      <c r="F2" s="18"/>
      <c r="G2" s="18"/>
      <c r="H2" s="18"/>
      <c r="I2" s="19"/>
      <c r="J2" s="19"/>
    </row>
    <row r="3" spans="1:12" ht="13.5" thickTop="1" x14ac:dyDescent="0.2">
      <c r="B3" s="20"/>
      <c r="C3" s="20"/>
      <c r="D3" s="20"/>
      <c r="E3" s="20"/>
      <c r="F3" s="20"/>
      <c r="I3" s="9"/>
      <c r="J3" s="9"/>
    </row>
    <row r="4" spans="1:12" x14ac:dyDescent="0.2">
      <c r="B4" s="2" t="s">
        <v>7</v>
      </c>
      <c r="E4" s="21" t="s">
        <v>8</v>
      </c>
      <c r="F4" s="22"/>
      <c r="G4" s="8"/>
      <c r="H4" s="23">
        <v>2017</v>
      </c>
      <c r="I4" s="9"/>
      <c r="J4" s="23">
        <v>2016</v>
      </c>
      <c r="K4" s="9"/>
      <c r="L4" s="23">
        <v>2015</v>
      </c>
    </row>
    <row r="5" spans="1:12" x14ac:dyDescent="0.2">
      <c r="C5" s="24" t="s">
        <v>6</v>
      </c>
      <c r="E5" s="6">
        <f>434458.88+1417.56+3131.16</f>
        <v>439007.6</v>
      </c>
      <c r="F5" s="6"/>
      <c r="G5" s="8"/>
      <c r="H5" s="6">
        <f>380811.74+1105.84+1819.3</f>
        <v>383736.88</v>
      </c>
      <c r="I5" s="9"/>
      <c r="J5" s="6">
        <f>377144.06+821.2+4154.04</f>
        <v>382119.3</v>
      </c>
      <c r="K5" s="9"/>
      <c r="L5" s="6">
        <f>379878.29+1967.32+3302.52</f>
        <v>385148.13</v>
      </c>
    </row>
    <row r="6" spans="1:12" x14ac:dyDescent="0.2">
      <c r="C6" s="24" t="s">
        <v>5</v>
      </c>
      <c r="E6" s="6">
        <v>47312.97</v>
      </c>
      <c r="F6" s="6"/>
      <c r="G6" s="8"/>
      <c r="H6" s="6">
        <v>50911.94</v>
      </c>
      <c r="I6" s="9"/>
      <c r="J6" s="6">
        <v>46603.3</v>
      </c>
      <c r="K6" s="9"/>
      <c r="L6" s="6">
        <v>30798.94</v>
      </c>
    </row>
    <row r="7" spans="1:12" x14ac:dyDescent="0.2">
      <c r="C7" s="24" t="s">
        <v>4</v>
      </c>
      <c r="E7" s="6">
        <v>94669.64</v>
      </c>
      <c r="F7" s="6"/>
      <c r="G7" s="25"/>
      <c r="H7" s="6">
        <v>82560.479999999996</v>
      </c>
      <c r="I7" s="26"/>
      <c r="J7" s="6">
        <v>83248.88</v>
      </c>
      <c r="K7" s="26"/>
      <c r="L7" s="6">
        <v>86210.84</v>
      </c>
    </row>
    <row r="8" spans="1:12" x14ac:dyDescent="0.2">
      <c r="C8" s="27" t="s">
        <v>47</v>
      </c>
      <c r="E8" s="6">
        <v>51.29</v>
      </c>
      <c r="F8" s="6"/>
      <c r="G8" s="8"/>
      <c r="H8" s="6">
        <v>173.89</v>
      </c>
      <c r="I8" s="9"/>
      <c r="J8" s="6">
        <v>84.34</v>
      </c>
      <c r="K8" s="9"/>
      <c r="L8" s="6">
        <v>51.34</v>
      </c>
    </row>
    <row r="9" spans="1:12" ht="13.5" thickBot="1" x14ac:dyDescent="0.25">
      <c r="A9" s="12"/>
      <c r="B9" s="2" t="s">
        <v>9</v>
      </c>
      <c r="E9" s="28">
        <f>E5+E6+E7-E8</f>
        <v>580938.91999999993</v>
      </c>
      <c r="F9" s="12"/>
      <c r="G9" s="25"/>
      <c r="H9" s="28">
        <f>H5+H6+H7-H8</f>
        <v>517035.41</v>
      </c>
      <c r="I9" s="26"/>
      <c r="J9" s="28">
        <f>J5+J6+J7-J8</f>
        <v>511887.13999999996</v>
      </c>
      <c r="K9" s="26"/>
      <c r="L9" s="28">
        <f>L5+L6+L7-L8</f>
        <v>502106.57</v>
      </c>
    </row>
    <row r="10" spans="1:12" ht="13.5" thickTop="1" x14ac:dyDescent="0.2">
      <c r="A10" s="12"/>
      <c r="B10" s="2"/>
      <c r="E10" s="30"/>
      <c r="F10" s="30"/>
      <c r="G10" s="25"/>
      <c r="H10" s="30"/>
      <c r="I10" s="26"/>
      <c r="J10" s="31"/>
      <c r="K10" s="26"/>
      <c r="L10" s="31"/>
    </row>
    <row r="11" spans="1:12" ht="33.75" x14ac:dyDescent="0.2">
      <c r="B11" s="2" t="s">
        <v>10</v>
      </c>
      <c r="E11" s="3" t="s">
        <v>25</v>
      </c>
      <c r="F11" s="32" t="s">
        <v>33</v>
      </c>
      <c r="G11" s="8"/>
      <c r="H11" s="3" t="s">
        <v>25</v>
      </c>
      <c r="I11" s="9"/>
      <c r="J11" s="6"/>
      <c r="K11" s="9"/>
      <c r="L11" s="6"/>
    </row>
    <row r="12" spans="1:12" x14ac:dyDescent="0.2">
      <c r="C12" s="4" t="s">
        <v>3</v>
      </c>
      <c r="E12" s="6">
        <v>217034.78</v>
      </c>
      <c r="F12" s="33"/>
      <c r="G12" s="8"/>
      <c r="H12" s="6">
        <v>146904.39000000001</v>
      </c>
      <c r="I12" s="9"/>
      <c r="J12" s="6">
        <v>127159.15</v>
      </c>
      <c r="K12" s="9"/>
      <c r="L12" s="6">
        <v>230032.66</v>
      </c>
    </row>
    <row r="13" spans="1:12" x14ac:dyDescent="0.2">
      <c r="C13" s="24" t="s">
        <v>11</v>
      </c>
      <c r="E13" s="6">
        <v>10473.65</v>
      </c>
      <c r="F13" s="33">
        <v>9641.48</v>
      </c>
      <c r="G13" s="8"/>
      <c r="H13" s="6">
        <v>42828.69</v>
      </c>
      <c r="I13" s="9"/>
      <c r="J13" s="6">
        <v>0</v>
      </c>
      <c r="K13" s="9"/>
      <c r="L13" s="6">
        <v>0</v>
      </c>
    </row>
    <row r="14" spans="1:12" x14ac:dyDescent="0.2">
      <c r="C14" s="24" t="s">
        <v>12</v>
      </c>
      <c r="E14" s="6">
        <v>102703.7</v>
      </c>
      <c r="F14" s="33">
        <v>82782.58</v>
      </c>
      <c r="G14" s="25"/>
      <c r="H14" s="6">
        <v>103407.69</v>
      </c>
      <c r="I14" s="9"/>
      <c r="J14" s="6">
        <v>37250.01</v>
      </c>
      <c r="K14" s="9"/>
      <c r="L14" s="6">
        <v>29913.85</v>
      </c>
    </row>
    <row r="15" spans="1:12" x14ac:dyDescent="0.2">
      <c r="C15" s="24" t="s">
        <v>13</v>
      </c>
      <c r="E15" s="6">
        <v>0</v>
      </c>
      <c r="F15" s="33"/>
      <c r="G15" s="25"/>
      <c r="H15" s="6">
        <f>4517.43</f>
        <v>4517.43</v>
      </c>
      <c r="I15" s="9"/>
      <c r="J15" s="6">
        <v>14374.33</v>
      </c>
      <c r="K15" s="9"/>
      <c r="L15" s="6">
        <v>12733.19</v>
      </c>
    </row>
    <row r="16" spans="1:12" x14ac:dyDescent="0.2">
      <c r="C16" s="24" t="s">
        <v>14</v>
      </c>
      <c r="E16" s="6">
        <v>32099.64</v>
      </c>
      <c r="F16" s="33">
        <v>2453.7399999999998</v>
      </c>
      <c r="G16" s="25"/>
      <c r="H16" s="6">
        <v>0</v>
      </c>
      <c r="I16" s="9"/>
      <c r="J16" s="6">
        <v>23717.73</v>
      </c>
      <c r="K16" s="9"/>
      <c r="L16" s="6">
        <v>0</v>
      </c>
    </row>
    <row r="17" spans="1:14" x14ac:dyDescent="0.2">
      <c r="C17" s="24" t="s">
        <v>15</v>
      </c>
      <c r="E17" s="6">
        <v>0</v>
      </c>
      <c r="F17" s="33"/>
      <c r="G17" s="25"/>
      <c r="H17" s="6">
        <v>10576.59</v>
      </c>
      <c r="I17" s="9"/>
      <c r="J17" s="6">
        <v>7983.7</v>
      </c>
      <c r="K17" s="9"/>
      <c r="L17" s="6">
        <v>4262.42</v>
      </c>
    </row>
    <row r="18" spans="1:14" x14ac:dyDescent="0.2">
      <c r="C18" s="24" t="s">
        <v>16</v>
      </c>
      <c r="E18" s="6">
        <v>0</v>
      </c>
      <c r="F18" s="33"/>
      <c r="G18" s="25"/>
      <c r="H18" s="6">
        <v>9296.94</v>
      </c>
      <c r="I18" s="9"/>
      <c r="J18" s="6">
        <v>0</v>
      </c>
      <c r="K18" s="9"/>
      <c r="L18" s="6">
        <v>20646.63</v>
      </c>
    </row>
    <row r="19" spans="1:14" x14ac:dyDescent="0.2">
      <c r="C19" s="24" t="s">
        <v>17</v>
      </c>
      <c r="E19" s="6">
        <v>0</v>
      </c>
      <c r="F19" s="33"/>
      <c r="G19" s="25"/>
      <c r="H19" s="6">
        <v>32990.589999999997</v>
      </c>
      <c r="I19" s="9"/>
      <c r="J19" s="6">
        <v>0</v>
      </c>
      <c r="K19" s="9"/>
      <c r="L19" s="6">
        <v>0</v>
      </c>
    </row>
    <row r="20" spans="1:14" x14ac:dyDescent="0.2">
      <c r="C20" s="24" t="s">
        <v>18</v>
      </c>
      <c r="E20" s="6">
        <v>12168.53</v>
      </c>
      <c r="F20" s="34">
        <v>3592.42</v>
      </c>
      <c r="G20" s="25"/>
      <c r="H20" s="6">
        <v>10358.549999999999</v>
      </c>
      <c r="I20" s="9"/>
      <c r="J20" s="6">
        <v>12941.77</v>
      </c>
      <c r="K20" s="9"/>
      <c r="L20" s="6">
        <v>0</v>
      </c>
    </row>
    <row r="21" spans="1:14" x14ac:dyDescent="0.2">
      <c r="C21" s="24" t="s">
        <v>19</v>
      </c>
      <c r="E21" s="6">
        <v>27544.45</v>
      </c>
      <c r="F21" s="34">
        <f>35656.17-8789</f>
        <v>26867.17</v>
      </c>
      <c r="G21" s="25"/>
      <c r="H21" s="6">
        <f>4481.56+20011.05</f>
        <v>24492.61</v>
      </c>
      <c r="I21" s="9"/>
      <c r="J21" s="6">
        <v>36160.46</v>
      </c>
      <c r="K21" s="9"/>
      <c r="L21" s="6">
        <f>5772.13+10294.34</f>
        <v>16066.470000000001</v>
      </c>
    </row>
    <row r="22" spans="1:14" x14ac:dyDescent="0.2">
      <c r="C22" s="24" t="s">
        <v>20</v>
      </c>
      <c r="E22" s="6">
        <v>0</v>
      </c>
      <c r="F22" s="34"/>
      <c r="G22" s="25"/>
      <c r="H22" s="6">
        <v>0</v>
      </c>
      <c r="I22" s="9"/>
      <c r="J22" s="6">
        <v>0</v>
      </c>
      <c r="K22" s="9"/>
      <c r="L22" s="6">
        <v>3964.55</v>
      </c>
    </row>
    <row r="23" spans="1:14" x14ac:dyDescent="0.2">
      <c r="C23" s="24" t="s">
        <v>21</v>
      </c>
      <c r="E23" s="6">
        <v>0</v>
      </c>
      <c r="F23" s="34"/>
      <c r="G23" s="25"/>
      <c r="H23" s="6">
        <v>0</v>
      </c>
      <c r="I23" s="9"/>
      <c r="J23" s="6">
        <v>87117.54</v>
      </c>
      <c r="K23" s="9"/>
      <c r="L23" s="6">
        <v>0</v>
      </c>
    </row>
    <row r="24" spans="1:14" x14ac:dyDescent="0.2">
      <c r="C24" s="24" t="s">
        <v>22</v>
      </c>
      <c r="E24" s="6">
        <v>102418.51</v>
      </c>
      <c r="F24" s="34">
        <v>49381.16</v>
      </c>
      <c r="G24" s="25"/>
      <c r="H24" s="6">
        <v>100351.06</v>
      </c>
      <c r="I24" s="9"/>
      <c r="J24" s="6">
        <v>67584.759999999995</v>
      </c>
      <c r="K24" s="9"/>
      <c r="L24" s="6">
        <v>65489.04</v>
      </c>
    </row>
    <row r="25" spans="1:14" x14ac:dyDescent="0.2">
      <c r="C25" s="24" t="s">
        <v>23</v>
      </c>
      <c r="E25" s="6">
        <v>24313.38</v>
      </c>
      <c r="F25" s="34">
        <v>12044.05</v>
      </c>
      <c r="G25" s="25"/>
      <c r="H25" s="6">
        <v>71028.429999999993</v>
      </c>
      <c r="I25" s="9"/>
      <c r="J25" s="6">
        <v>35655.71</v>
      </c>
      <c r="K25" s="9"/>
      <c r="L25" s="6">
        <v>73631.429999999993</v>
      </c>
    </row>
    <row r="26" spans="1:14" x14ac:dyDescent="0.2">
      <c r="C26" s="24" t="s">
        <v>26</v>
      </c>
      <c r="E26" s="6">
        <f>8908.21+29494.35+7665+916.4+8789</f>
        <v>55772.959999999999</v>
      </c>
      <c r="F26" s="10">
        <v>8789</v>
      </c>
      <c r="G26" s="8"/>
      <c r="H26" s="6">
        <f>2865+21340.13+2728+40+5008.4+50</f>
        <v>32031.53</v>
      </c>
      <c r="I26" s="9"/>
      <c r="J26" s="6">
        <f>6370+19226.45+213.41+11262+4444.57</f>
        <v>41516.43</v>
      </c>
      <c r="K26" s="9"/>
      <c r="L26" s="6">
        <f>15908.61+3545+936.49+11956.21</f>
        <v>32346.31</v>
      </c>
    </row>
    <row r="27" spans="1:14" x14ac:dyDescent="0.2">
      <c r="C27" s="24" t="s">
        <v>27</v>
      </c>
      <c r="E27" s="6">
        <f>40+275+150+1150.4+50</f>
        <v>1665.4</v>
      </c>
      <c r="F27" s="10"/>
      <c r="G27" s="8"/>
      <c r="H27" s="6">
        <f>40+2158.94+50+150+50+256</f>
        <v>2704.94</v>
      </c>
      <c r="I27" s="9"/>
      <c r="J27" s="6">
        <f>1981+6843+350+128+4885+50</f>
        <v>14237</v>
      </c>
      <c r="K27" s="9"/>
      <c r="L27" s="6">
        <f>12889.6+1000+128+575+2359</f>
        <v>16951.599999999999</v>
      </c>
    </row>
    <row r="28" spans="1:14" ht="25.5" x14ac:dyDescent="0.2">
      <c r="C28" s="5" t="s">
        <v>28</v>
      </c>
      <c r="E28" s="6">
        <f>524.4+1573.5+1217+2470</f>
        <v>5784.9</v>
      </c>
      <c r="F28" s="10"/>
      <c r="G28" s="8"/>
      <c r="H28" s="6">
        <f>756.4+1062+2795+133.3+5951</f>
        <v>10697.7</v>
      </c>
      <c r="I28" s="9"/>
      <c r="J28" s="6">
        <f>2907.5+2332+3132</f>
        <v>8371.5</v>
      </c>
      <c r="K28" s="9"/>
      <c r="L28" s="6">
        <f>2071.1+3556+2562+1265.8</f>
        <v>9454.9</v>
      </c>
    </row>
    <row r="29" spans="1:14" x14ac:dyDescent="0.2">
      <c r="C29" s="24" t="s">
        <v>29</v>
      </c>
      <c r="E29" s="6">
        <f>32+91.6</f>
        <v>123.6</v>
      </c>
      <c r="F29" s="35"/>
      <c r="G29" s="8"/>
      <c r="H29" s="6">
        <v>592.20000000000005</v>
      </c>
      <c r="I29" s="9"/>
      <c r="J29" s="6">
        <v>292.8</v>
      </c>
      <c r="K29" s="9"/>
      <c r="L29" s="6">
        <v>12329.22</v>
      </c>
    </row>
    <row r="30" spans="1:14" x14ac:dyDescent="0.2">
      <c r="B30" s="2" t="s">
        <v>30</v>
      </c>
      <c r="E30" s="36">
        <f>SUM(E12:E29)</f>
        <v>592103.5</v>
      </c>
      <c r="G30" s="25"/>
      <c r="H30" s="36">
        <f>SUM(H12:H29)</f>
        <v>602779.33999999985</v>
      </c>
      <c r="I30" s="12"/>
      <c r="J30" s="36">
        <f>SUM(J12:J29)</f>
        <v>514362.89</v>
      </c>
      <c r="K30" s="12"/>
      <c r="L30" s="36">
        <f>SUM(L12:L29)</f>
        <v>527822.2699999999</v>
      </c>
    </row>
    <row r="31" spans="1:14" x14ac:dyDescent="0.2">
      <c r="A31" s="63"/>
      <c r="B31" s="63"/>
      <c r="C31" s="24" t="s">
        <v>24</v>
      </c>
      <c r="D31" s="24"/>
      <c r="E31" s="68">
        <f>-6046.16-9641.48-49381.16-12044.05-35656.17-82782.58</f>
        <v>-195551.6</v>
      </c>
      <c r="F31" s="34">
        <f>SUM(F12:F29)</f>
        <v>195551.59999999998</v>
      </c>
      <c r="G31" s="64"/>
      <c r="H31" s="68">
        <f>-3409.9-4657.65-3181.01-1918.24-50376.39-24691.39-30701.45-78353.81</f>
        <v>-197289.84</v>
      </c>
      <c r="I31" s="15"/>
      <c r="J31" s="68">
        <f>-10495.34-46802.5-30795.16-16392.06-14185.2</f>
        <v>-118670.26</v>
      </c>
      <c r="K31" s="15"/>
      <c r="L31" s="68">
        <f>-15556.1-4542.35-8302.9-12790.79-23148.84+4000</f>
        <v>-60340.979999999996</v>
      </c>
      <c r="M31" s="63"/>
      <c r="N31" s="63"/>
    </row>
    <row r="32" spans="1:14" x14ac:dyDescent="0.2">
      <c r="B32" s="2" t="s">
        <v>31</v>
      </c>
      <c r="E32" s="30">
        <f>E30+E31</f>
        <v>396551.9</v>
      </c>
      <c r="F32" s="37"/>
      <c r="G32" s="25"/>
      <c r="H32" s="30">
        <f>H30+H31</f>
        <v>405489.49999999988</v>
      </c>
      <c r="I32" s="12"/>
      <c r="J32" s="30">
        <f>J30+J31</f>
        <v>395692.63</v>
      </c>
      <c r="K32" s="12"/>
      <c r="L32" s="30">
        <f>L30+L31</f>
        <v>467481.28999999992</v>
      </c>
    </row>
    <row r="33" spans="1:14" x14ac:dyDescent="0.2">
      <c r="F33" s="7"/>
      <c r="G33" s="8"/>
      <c r="I33" s="9"/>
      <c r="K33" s="9"/>
    </row>
    <row r="34" spans="1:14" x14ac:dyDescent="0.2">
      <c r="B34" s="2" t="s">
        <v>34</v>
      </c>
      <c r="E34" s="38">
        <v>33327.26</v>
      </c>
      <c r="F34" s="26"/>
      <c r="G34" s="25"/>
      <c r="H34" s="38">
        <v>-31232.57</v>
      </c>
      <c r="I34" s="14"/>
      <c r="J34" s="38">
        <v>9237.8700000000008</v>
      </c>
      <c r="K34" s="14"/>
      <c r="L34" s="38">
        <v>-111027.95</v>
      </c>
    </row>
    <row r="35" spans="1:14" x14ac:dyDescent="0.2">
      <c r="F35" s="9"/>
      <c r="G35" s="8"/>
      <c r="I35" s="9"/>
      <c r="K35" s="9"/>
    </row>
    <row r="36" spans="1:14" ht="13.5" thickBot="1" x14ac:dyDescent="0.25">
      <c r="B36" s="123" t="s">
        <v>36</v>
      </c>
      <c r="C36" s="123"/>
      <c r="E36" s="13">
        <f>E32+E34</f>
        <v>429879.16000000003</v>
      </c>
      <c r="F36" s="9"/>
      <c r="G36" s="8"/>
      <c r="H36" s="13">
        <f>H32+H34</f>
        <v>374256.92999999988</v>
      </c>
      <c r="I36" s="14"/>
      <c r="J36" s="13">
        <f>J32+J34</f>
        <v>404930.5</v>
      </c>
      <c r="K36" s="14"/>
      <c r="L36" s="13">
        <f>L32+L34</f>
        <v>356453.33999999991</v>
      </c>
    </row>
    <row r="37" spans="1:14" ht="13.5" thickTop="1" x14ac:dyDescent="0.2">
      <c r="F37" s="9"/>
      <c r="G37" s="8"/>
      <c r="I37" s="9"/>
      <c r="K37" s="9"/>
    </row>
    <row r="38" spans="1:14" x14ac:dyDescent="0.2">
      <c r="F38" s="9"/>
      <c r="G38" s="8"/>
      <c r="I38" s="9"/>
      <c r="K38" s="9"/>
    </row>
    <row r="39" spans="1:14" x14ac:dyDescent="0.2">
      <c r="B39" s="2" t="s">
        <v>35</v>
      </c>
      <c r="E39" s="11">
        <f>E9-E36</f>
        <v>151059.75999999989</v>
      </c>
      <c r="F39" s="9"/>
      <c r="G39" s="8"/>
      <c r="H39" s="11">
        <f>H9-H36</f>
        <v>142778.4800000001</v>
      </c>
      <c r="I39" s="12"/>
      <c r="J39" s="11">
        <f>J9-J36</f>
        <v>106956.63999999996</v>
      </c>
      <c r="K39" s="12"/>
      <c r="L39" s="11">
        <f>L9-L36</f>
        <v>145653.2300000001</v>
      </c>
    </row>
    <row r="40" spans="1:14" x14ac:dyDescent="0.2">
      <c r="A40" s="58"/>
      <c r="B40" s="58"/>
      <c r="C40" s="58"/>
      <c r="D40" s="58"/>
      <c r="E40" s="59">
        <f>E39/E9</f>
        <v>0.26002692331235083</v>
      </c>
      <c r="F40" s="60"/>
      <c r="G40" s="61"/>
      <c r="H40" s="59">
        <f>H39/H9</f>
        <v>0.27614835896829604</v>
      </c>
      <c r="I40" s="62"/>
      <c r="J40" s="59">
        <f>J39/J9</f>
        <v>0.20894574534535088</v>
      </c>
      <c r="K40" s="62"/>
      <c r="L40" s="59">
        <f>L39/L9</f>
        <v>0.2900842942564964</v>
      </c>
      <c r="M40" s="58"/>
      <c r="N40" s="58"/>
    </row>
    <row r="41" spans="1:14" x14ac:dyDescent="0.2">
      <c r="E41" s="29"/>
      <c r="F41" s="9"/>
      <c r="G41" s="8"/>
      <c r="H41" s="29"/>
      <c r="I41" s="9"/>
      <c r="J41" s="29"/>
      <c r="K41" s="9"/>
      <c r="L41" s="29"/>
    </row>
    <row r="42" spans="1:14" x14ac:dyDescent="0.2">
      <c r="B42" s="2" t="s">
        <v>37</v>
      </c>
      <c r="E42" s="29"/>
      <c r="F42" s="9"/>
      <c r="G42" s="8"/>
      <c r="H42" s="29"/>
      <c r="I42" s="9"/>
      <c r="J42" s="29"/>
      <c r="K42" s="9"/>
      <c r="L42" s="29"/>
    </row>
    <row r="43" spans="1:14" x14ac:dyDescent="0.2">
      <c r="C43" s="24" t="s">
        <v>38</v>
      </c>
      <c r="E43" s="6">
        <f>23822.37+11412.21</f>
        <v>35234.58</v>
      </c>
      <c r="F43" s="9"/>
      <c r="G43" s="8"/>
      <c r="H43" s="6">
        <f>19538.22+6122.08</f>
        <v>25660.300000000003</v>
      </c>
      <c r="I43" s="9"/>
      <c r="J43" s="6">
        <f>122+17168.61+6641.03</f>
        <v>23931.64</v>
      </c>
      <c r="K43" s="9"/>
      <c r="L43" s="6">
        <v>19112.36</v>
      </c>
    </row>
    <row r="44" spans="1:14" x14ac:dyDescent="0.2">
      <c r="C44" s="24" t="s">
        <v>39</v>
      </c>
      <c r="E44" s="6">
        <v>0</v>
      </c>
      <c r="F44" s="9"/>
      <c r="G44" s="8"/>
      <c r="H44" s="6">
        <v>0</v>
      </c>
      <c r="I44" s="9"/>
      <c r="J44" s="6">
        <v>0</v>
      </c>
      <c r="K44" s="9"/>
      <c r="L44" s="6">
        <v>7175.06</v>
      </c>
    </row>
    <row r="45" spans="1:14" x14ac:dyDescent="0.2">
      <c r="C45" s="24" t="s">
        <v>40</v>
      </c>
      <c r="E45" s="6">
        <v>1513</v>
      </c>
      <c r="F45" s="9"/>
      <c r="G45" s="8"/>
      <c r="H45" s="6">
        <v>852.4</v>
      </c>
      <c r="I45" s="9"/>
      <c r="J45" s="6">
        <v>638.79999999999995</v>
      </c>
      <c r="K45" s="9"/>
      <c r="L45" s="6">
        <v>814.4</v>
      </c>
    </row>
    <row r="46" spans="1:14" x14ac:dyDescent="0.2">
      <c r="B46" s="123" t="s">
        <v>41</v>
      </c>
      <c r="C46" s="124"/>
      <c r="E46" s="11">
        <f>SUM(E43:E45)</f>
        <v>36747.58</v>
      </c>
      <c r="F46" s="9"/>
      <c r="G46" s="8"/>
      <c r="H46" s="11">
        <f>SUM(H43:H45)</f>
        <v>26512.700000000004</v>
      </c>
      <c r="I46" s="12"/>
      <c r="J46" s="11">
        <f>SUM(J43:J45)</f>
        <v>24570.44</v>
      </c>
      <c r="K46" s="12"/>
      <c r="L46" s="11">
        <f>SUM(L43:L45)</f>
        <v>27101.820000000003</v>
      </c>
    </row>
    <row r="47" spans="1:14" x14ac:dyDescent="0.2">
      <c r="F47" s="9"/>
      <c r="G47" s="8"/>
      <c r="I47" s="9"/>
      <c r="K47" s="9"/>
    </row>
    <row r="48" spans="1:14" ht="13.5" thickBot="1" x14ac:dyDescent="0.25">
      <c r="B48" s="2" t="s">
        <v>42</v>
      </c>
      <c r="E48" s="39">
        <f>E39-E46</f>
        <v>114312.17999999989</v>
      </c>
      <c r="F48" s="9"/>
      <c r="G48" s="8"/>
      <c r="H48" s="39">
        <f>H39-H46</f>
        <v>116265.78000000009</v>
      </c>
      <c r="I48" s="40"/>
      <c r="J48" s="39">
        <f>J39-J46</f>
        <v>82386.199999999953</v>
      </c>
      <c r="K48" s="40"/>
      <c r="L48" s="39">
        <f>L39-L46</f>
        <v>118551.41000000009</v>
      </c>
    </row>
    <row r="49" spans="1:14" ht="13.5" thickTop="1" x14ac:dyDescent="0.2">
      <c r="A49" s="58"/>
      <c r="B49" s="58"/>
      <c r="C49" s="58"/>
      <c r="D49" s="58"/>
      <c r="E49" s="59">
        <f>E48/E9</f>
        <v>0.19677142650383952</v>
      </c>
      <c r="F49" s="60"/>
      <c r="G49" s="61"/>
      <c r="H49" s="59">
        <f>H48/H9</f>
        <v>0.22487005290411366</v>
      </c>
      <c r="I49" s="62"/>
      <c r="J49" s="59">
        <f>J48/J9</f>
        <v>0.16094602415680917</v>
      </c>
      <c r="K49" s="62"/>
      <c r="L49" s="59">
        <f>L48/L9</f>
        <v>0.23610806367261852</v>
      </c>
      <c r="M49" s="58"/>
      <c r="N49" s="58"/>
    </row>
    <row r="50" spans="1:14" x14ac:dyDescent="0.2">
      <c r="E50" s="29"/>
      <c r="F50" s="9"/>
      <c r="G50" s="8"/>
      <c r="H50" s="29"/>
      <c r="I50" s="9"/>
      <c r="J50" s="29"/>
      <c r="K50" s="9"/>
      <c r="L50" s="29"/>
    </row>
    <row r="51" spans="1:14" x14ac:dyDescent="0.2">
      <c r="B51" s="2" t="s">
        <v>43</v>
      </c>
      <c r="E51" s="29"/>
      <c r="F51" s="9"/>
      <c r="G51" s="8"/>
      <c r="H51" s="29"/>
      <c r="I51" s="9"/>
      <c r="J51" s="29"/>
      <c r="K51" s="9"/>
      <c r="L51" s="29"/>
    </row>
    <row r="52" spans="1:14" ht="25.5" x14ac:dyDescent="0.2">
      <c r="C52" s="5" t="s">
        <v>44</v>
      </c>
      <c r="E52" s="6">
        <v>5434</v>
      </c>
      <c r="F52" s="9"/>
      <c r="G52" s="8"/>
      <c r="H52" s="6">
        <v>5540</v>
      </c>
      <c r="I52" s="9"/>
      <c r="J52" s="6">
        <v>4820</v>
      </c>
      <c r="K52" s="9"/>
      <c r="L52" s="6">
        <v>6000</v>
      </c>
    </row>
    <row r="53" spans="1:14" x14ac:dyDescent="0.2">
      <c r="C53" s="24" t="s">
        <v>45</v>
      </c>
      <c r="E53" s="6">
        <v>0</v>
      </c>
      <c r="F53" s="9"/>
      <c r="G53" s="8"/>
      <c r="H53" s="6">
        <v>0</v>
      </c>
      <c r="I53" s="9"/>
      <c r="J53" s="6">
        <v>0</v>
      </c>
      <c r="K53" s="9"/>
      <c r="L53" s="6">
        <v>11.21</v>
      </c>
    </row>
    <row r="54" spans="1:14" x14ac:dyDescent="0.2">
      <c r="C54" s="24" t="s">
        <v>40</v>
      </c>
      <c r="E54" s="6">
        <v>308.75</v>
      </c>
      <c r="F54" s="9"/>
      <c r="G54" s="8"/>
      <c r="H54" s="6">
        <v>400</v>
      </c>
      <c r="I54" s="9"/>
      <c r="J54" s="6">
        <v>279.51</v>
      </c>
      <c r="K54" s="9"/>
      <c r="L54" s="6">
        <v>355</v>
      </c>
    </row>
    <row r="55" spans="1:14" x14ac:dyDescent="0.2">
      <c r="B55" s="123" t="s">
        <v>46</v>
      </c>
      <c r="C55" s="124"/>
      <c r="E55" s="11">
        <f>SUM(E52:E54)</f>
        <v>5742.75</v>
      </c>
      <c r="F55" s="9"/>
      <c r="G55" s="8"/>
      <c r="H55" s="11">
        <f>SUM(H52:H54)</f>
        <v>5940</v>
      </c>
      <c r="I55" s="12"/>
      <c r="J55" s="11">
        <f>SUM(J52:J54)</f>
        <v>5099.51</v>
      </c>
      <c r="K55" s="12"/>
      <c r="L55" s="11">
        <f>SUM(L52:L54)</f>
        <v>6366.21</v>
      </c>
    </row>
    <row r="56" spans="1:14" x14ac:dyDescent="0.2">
      <c r="E56" s="20"/>
      <c r="F56" s="9"/>
      <c r="G56" s="8"/>
      <c r="H56" s="20"/>
      <c r="I56" s="41"/>
      <c r="J56" s="20"/>
      <c r="K56" s="41"/>
      <c r="L56" s="20"/>
    </row>
    <row r="57" spans="1:14" x14ac:dyDescent="0.2">
      <c r="B57" s="123" t="s">
        <v>60</v>
      </c>
      <c r="C57" s="124"/>
      <c r="E57" s="29"/>
      <c r="F57" s="9"/>
      <c r="G57" s="8"/>
      <c r="H57" s="29"/>
      <c r="I57" s="9"/>
      <c r="J57" s="29"/>
      <c r="K57" s="9"/>
      <c r="L57" s="29"/>
    </row>
    <row r="58" spans="1:14" x14ac:dyDescent="0.2">
      <c r="C58" s="24" t="s">
        <v>48</v>
      </c>
      <c r="E58" s="6">
        <f>38320+4790.03+1087</f>
        <v>44197.03</v>
      </c>
      <c r="F58" s="9"/>
      <c r="G58" s="8"/>
      <c r="H58" s="6">
        <f>34765+4345.66</f>
        <v>39110.660000000003</v>
      </c>
      <c r="I58" s="9"/>
      <c r="J58" s="6">
        <f>34414+4301.78</f>
        <v>38715.78</v>
      </c>
      <c r="K58" s="9"/>
      <c r="L58" s="6">
        <f>31390+3923.79</f>
        <v>35313.79</v>
      </c>
    </row>
    <row r="59" spans="1:14" x14ac:dyDescent="0.2">
      <c r="C59" s="24" t="s">
        <v>49</v>
      </c>
      <c r="E59" s="6">
        <v>1568</v>
      </c>
      <c r="F59" s="9"/>
      <c r="G59" s="8"/>
      <c r="H59" s="6">
        <v>1733.5</v>
      </c>
      <c r="I59" s="9"/>
      <c r="J59" s="6">
        <v>2530.5</v>
      </c>
      <c r="K59" s="9"/>
      <c r="L59" s="6">
        <v>1620.5</v>
      </c>
    </row>
    <row r="60" spans="1:14" x14ac:dyDescent="0.2">
      <c r="C60" s="24" t="s">
        <v>50</v>
      </c>
      <c r="E60" s="6">
        <v>3597.46</v>
      </c>
      <c r="F60" s="9"/>
      <c r="G60" s="8"/>
      <c r="H60" s="6">
        <v>4024.18</v>
      </c>
      <c r="I60" s="9"/>
      <c r="J60" s="6">
        <f>4105.76+844</f>
        <v>4949.76</v>
      </c>
      <c r="K60" s="9"/>
      <c r="L60" s="6">
        <f>2198.54+3350.4</f>
        <v>5548.9400000000005</v>
      </c>
    </row>
    <row r="61" spans="1:14" x14ac:dyDescent="0.2">
      <c r="C61" s="24" t="s">
        <v>51</v>
      </c>
      <c r="E61" s="6">
        <v>247.12</v>
      </c>
      <c r="F61" s="9"/>
      <c r="G61" s="8"/>
      <c r="H61" s="6">
        <v>0</v>
      </c>
      <c r="I61" s="9"/>
      <c r="J61" s="6">
        <v>315.60000000000002</v>
      </c>
      <c r="K61" s="9"/>
      <c r="L61" s="6">
        <v>154.84</v>
      </c>
    </row>
    <row r="62" spans="1:14" x14ac:dyDescent="0.2">
      <c r="C62" s="24" t="s">
        <v>52</v>
      </c>
      <c r="E62" s="6">
        <v>5824.87</v>
      </c>
      <c r="F62" s="9"/>
      <c r="G62" s="8"/>
      <c r="H62" s="6">
        <v>6562.71</v>
      </c>
      <c r="I62" s="9"/>
      <c r="J62" s="6">
        <v>7043.03</v>
      </c>
      <c r="K62" s="9"/>
      <c r="L62" s="6">
        <v>5539.26</v>
      </c>
    </row>
    <row r="63" spans="1:14" x14ac:dyDescent="0.2">
      <c r="C63" s="24" t="s">
        <v>53</v>
      </c>
      <c r="E63" s="6">
        <v>569.91999999999996</v>
      </c>
      <c r="F63" s="9"/>
      <c r="G63" s="8"/>
      <c r="H63" s="6">
        <v>282.72000000000003</v>
      </c>
      <c r="I63" s="9"/>
      <c r="J63" s="6">
        <f>104+143.52</f>
        <v>247.52</v>
      </c>
      <c r="K63" s="9"/>
      <c r="L63" s="6">
        <v>143.52000000000001</v>
      </c>
    </row>
    <row r="64" spans="1:14" x14ac:dyDescent="0.2">
      <c r="C64" s="24" t="s">
        <v>54</v>
      </c>
      <c r="E64" s="6">
        <v>5063.2</v>
      </c>
      <c r="F64" s="9"/>
      <c r="G64" s="8"/>
      <c r="H64" s="6">
        <v>3875.6</v>
      </c>
      <c r="I64" s="9"/>
      <c r="J64" s="6">
        <v>1729.81</v>
      </c>
      <c r="K64" s="9"/>
      <c r="L64" s="6">
        <v>1809.6</v>
      </c>
    </row>
    <row r="65" spans="2:12" ht="25.5" x14ac:dyDescent="0.2">
      <c r="C65" s="5" t="s">
        <v>55</v>
      </c>
      <c r="E65" s="6">
        <v>32</v>
      </c>
      <c r="F65" s="9"/>
      <c r="G65" s="8"/>
      <c r="H65" s="6">
        <f>321.6+2979.2</f>
        <v>3300.7999999999997</v>
      </c>
      <c r="I65" s="9"/>
      <c r="J65" s="6">
        <v>183.2</v>
      </c>
      <c r="K65" s="9"/>
      <c r="L65" s="6">
        <v>385.4</v>
      </c>
    </row>
    <row r="66" spans="2:12" x14ac:dyDescent="0.2">
      <c r="C66" s="24" t="s">
        <v>56</v>
      </c>
      <c r="E66" s="6">
        <v>355.74</v>
      </c>
      <c r="F66" s="9"/>
      <c r="G66" s="8"/>
      <c r="H66" s="6">
        <v>1211.01</v>
      </c>
      <c r="I66" s="9"/>
      <c r="J66" s="6">
        <v>293.16000000000003</v>
      </c>
      <c r="K66" s="9"/>
      <c r="L66" s="6">
        <v>430.34</v>
      </c>
    </row>
    <row r="67" spans="2:12" x14ac:dyDescent="0.2">
      <c r="C67" s="24" t="s">
        <v>91</v>
      </c>
      <c r="E67" s="6">
        <f>15458.34+400</f>
        <v>15858.34</v>
      </c>
      <c r="F67" s="9"/>
      <c r="G67" s="8"/>
      <c r="H67" s="6">
        <f>560+4360.32</f>
        <v>4920.32</v>
      </c>
      <c r="I67" s="9"/>
      <c r="J67" s="6">
        <f>400+965.5</f>
        <v>1365.5</v>
      </c>
      <c r="K67" s="9"/>
      <c r="L67" s="6">
        <v>0</v>
      </c>
    </row>
    <row r="68" spans="2:12" x14ac:dyDescent="0.2">
      <c r="C68" s="24" t="s">
        <v>57</v>
      </c>
      <c r="E68" s="6">
        <v>1207</v>
      </c>
      <c r="F68" s="9"/>
      <c r="G68" s="8"/>
      <c r="H68" s="6">
        <v>923</v>
      </c>
      <c r="I68" s="9"/>
      <c r="J68" s="6">
        <v>568</v>
      </c>
      <c r="K68" s="9"/>
      <c r="L68" s="6">
        <v>639</v>
      </c>
    </row>
    <row r="69" spans="2:12" x14ac:dyDescent="0.2">
      <c r="C69" s="24" t="s">
        <v>58</v>
      </c>
      <c r="E69" s="6">
        <v>1310.75</v>
      </c>
      <c r="F69" s="9"/>
      <c r="G69" s="8"/>
      <c r="H69" s="6">
        <v>1045.5</v>
      </c>
      <c r="I69" s="9"/>
      <c r="J69" s="6">
        <v>1324.5</v>
      </c>
      <c r="K69" s="9"/>
      <c r="L69" s="6">
        <v>2004.8</v>
      </c>
    </row>
    <row r="70" spans="2:12" x14ac:dyDescent="0.2">
      <c r="C70" s="24" t="s">
        <v>40</v>
      </c>
      <c r="E70" s="6">
        <f>319.2</f>
        <v>319.2</v>
      </c>
      <c r="F70" s="9"/>
      <c r="G70" s="8"/>
      <c r="H70" s="6">
        <v>225.12</v>
      </c>
      <c r="I70" s="9"/>
      <c r="J70" s="6">
        <v>0</v>
      </c>
      <c r="K70" s="9"/>
      <c r="L70" s="6">
        <v>0</v>
      </c>
    </row>
    <row r="71" spans="2:12" x14ac:dyDescent="0.2">
      <c r="B71" s="123" t="s">
        <v>59</v>
      </c>
      <c r="C71" s="124"/>
      <c r="E71" s="11">
        <f>SUM(E58:E70)</f>
        <v>80150.62999999999</v>
      </c>
      <c r="F71" s="26"/>
      <c r="G71" s="25"/>
      <c r="H71" s="11">
        <f>SUM(H58:H70)</f>
        <v>67215.12</v>
      </c>
      <c r="I71" s="12"/>
      <c r="J71" s="11">
        <f>SUM(J58:J70)</f>
        <v>59266.359999999993</v>
      </c>
      <c r="K71" s="12"/>
      <c r="L71" s="11">
        <f>SUM(L58:L70)</f>
        <v>53589.99</v>
      </c>
    </row>
    <row r="72" spans="2:12" x14ac:dyDescent="0.2">
      <c r="F72" s="9"/>
      <c r="G72" s="8"/>
      <c r="I72" s="9"/>
      <c r="K72" s="9"/>
    </row>
    <row r="73" spans="2:12" ht="13.5" thickBot="1" x14ac:dyDescent="0.25">
      <c r="B73" s="2" t="s">
        <v>61</v>
      </c>
      <c r="E73" s="28">
        <f>E48+E55-E71</f>
        <v>39904.299999999901</v>
      </c>
      <c r="F73" s="26"/>
      <c r="G73" s="25"/>
      <c r="H73" s="28">
        <f>H48+H55-H71</f>
        <v>54990.660000000091</v>
      </c>
      <c r="I73" s="12"/>
      <c r="J73" s="28">
        <f>J48+J55-J71</f>
        <v>28219.349999999955</v>
      </c>
      <c r="K73" s="12"/>
      <c r="L73" s="28">
        <f>L48+L55-L71</f>
        <v>71327.630000000092</v>
      </c>
    </row>
    <row r="74" spans="2:12" ht="13.5" thickTop="1" x14ac:dyDescent="0.2">
      <c r="E74" s="42"/>
      <c r="F74" s="9"/>
      <c r="G74" s="8"/>
      <c r="H74" s="42"/>
      <c r="I74" s="43"/>
      <c r="J74" s="42"/>
      <c r="K74" s="43"/>
      <c r="L74" s="42"/>
    </row>
    <row r="75" spans="2:12" x14ac:dyDescent="0.2">
      <c r="B75" s="123" t="s">
        <v>62</v>
      </c>
      <c r="C75" s="124"/>
      <c r="F75" s="9"/>
      <c r="G75" s="8"/>
      <c r="I75" s="9"/>
      <c r="K75" s="9"/>
    </row>
    <row r="76" spans="2:12" x14ac:dyDescent="0.2">
      <c r="C76" s="24" t="s">
        <v>63</v>
      </c>
      <c r="E76" s="6">
        <v>93.02</v>
      </c>
      <c r="F76" s="9"/>
      <c r="G76" s="8"/>
      <c r="H76" s="6">
        <v>68.040000000000006</v>
      </c>
      <c r="I76" s="9"/>
      <c r="J76" s="6">
        <v>1.28</v>
      </c>
      <c r="K76" s="9"/>
      <c r="L76" s="6">
        <v>0</v>
      </c>
    </row>
    <row r="77" spans="2:12" x14ac:dyDescent="0.2">
      <c r="C77" s="24" t="s">
        <v>74</v>
      </c>
      <c r="E77" s="6">
        <v>0</v>
      </c>
      <c r="F77" s="26"/>
      <c r="G77" s="25"/>
      <c r="H77" s="6">
        <v>20000</v>
      </c>
      <c r="I77" s="9"/>
      <c r="J77" s="6">
        <v>20000</v>
      </c>
      <c r="K77" s="9"/>
      <c r="L77" s="6">
        <v>0</v>
      </c>
    </row>
    <row r="78" spans="2:12" x14ac:dyDescent="0.2">
      <c r="C78" s="24" t="s">
        <v>64</v>
      </c>
      <c r="E78" s="6">
        <v>0</v>
      </c>
      <c r="F78" s="26"/>
      <c r="G78" s="25"/>
      <c r="H78" s="6">
        <v>7617.98</v>
      </c>
      <c r="I78" s="9"/>
      <c r="J78" s="6">
        <v>0</v>
      </c>
      <c r="K78" s="9"/>
      <c r="L78" s="6">
        <v>0</v>
      </c>
    </row>
    <row r="79" spans="2:12" x14ac:dyDescent="0.2">
      <c r="C79" s="24" t="s">
        <v>65</v>
      </c>
      <c r="E79" s="6">
        <v>0.25</v>
      </c>
      <c r="F79" s="9"/>
      <c r="G79" s="8"/>
      <c r="H79" s="6">
        <v>0</v>
      </c>
      <c r="I79" s="9"/>
      <c r="J79" s="6">
        <v>0</v>
      </c>
      <c r="K79" s="9"/>
      <c r="L79" s="6">
        <v>0</v>
      </c>
    </row>
    <row r="80" spans="2:12" ht="13.5" thickBot="1" x14ac:dyDescent="0.25">
      <c r="B80" s="123" t="s">
        <v>66</v>
      </c>
      <c r="C80" s="124"/>
      <c r="E80" s="28">
        <f>SUM(E76:E79)</f>
        <v>93.27</v>
      </c>
      <c r="F80" s="26"/>
      <c r="G80" s="25"/>
      <c r="H80" s="28">
        <f>SUM(H76:H79)</f>
        <v>27686.02</v>
      </c>
      <c r="I80" s="41"/>
      <c r="J80" s="28">
        <f>SUM(J76:J79)</f>
        <v>20001.28</v>
      </c>
      <c r="K80" s="41"/>
      <c r="L80" s="28">
        <f>SUM(L76:L79)</f>
        <v>0</v>
      </c>
    </row>
    <row r="81" spans="1:12" ht="13.5" thickTop="1" x14ac:dyDescent="0.2">
      <c r="E81" s="20"/>
      <c r="F81" s="9"/>
      <c r="G81" s="8"/>
      <c r="H81" s="20"/>
      <c r="I81" s="41"/>
      <c r="J81" s="20"/>
      <c r="K81" s="41"/>
      <c r="L81" s="20"/>
    </row>
    <row r="82" spans="1:12" x14ac:dyDescent="0.2">
      <c r="F82" s="9"/>
      <c r="G82" s="8"/>
      <c r="I82" s="9"/>
      <c r="K82" s="9"/>
    </row>
    <row r="83" spans="1:12" ht="13.5" thickBot="1" x14ac:dyDescent="0.25">
      <c r="A83" s="9"/>
      <c r="B83" s="44" t="s">
        <v>67</v>
      </c>
      <c r="D83" s="9"/>
      <c r="E83" s="45">
        <f>E73-E80</f>
        <v>39811.029999999904</v>
      </c>
      <c r="F83" s="26"/>
      <c r="G83" s="25"/>
      <c r="H83" s="45">
        <f>H73-H80</f>
        <v>27304.64000000009</v>
      </c>
      <c r="I83" s="12"/>
      <c r="J83" s="45">
        <f>J73-J80</f>
        <v>8218.0699999999561</v>
      </c>
      <c r="K83" s="12"/>
      <c r="L83" s="45">
        <f>L73-L80</f>
        <v>71327.630000000092</v>
      </c>
    </row>
    <row r="84" spans="1:12" ht="13.5" thickTop="1" x14ac:dyDescent="0.2">
      <c r="B84" s="46"/>
      <c r="C84" s="46"/>
      <c r="D84" s="46"/>
      <c r="E84" s="47"/>
      <c r="F84" s="46"/>
      <c r="G84" s="48"/>
      <c r="H84" s="47"/>
      <c r="I84" s="49"/>
      <c r="J84" s="47"/>
      <c r="K84" s="49"/>
      <c r="L84" s="47"/>
    </row>
    <row r="85" spans="1:12" x14ac:dyDescent="0.2">
      <c r="E85" s="29"/>
      <c r="F85" s="9"/>
      <c r="G85" s="67"/>
      <c r="H85" s="29"/>
      <c r="I85" s="9"/>
      <c r="J85" s="29"/>
      <c r="K85" s="9"/>
      <c r="L85" s="29"/>
    </row>
    <row r="86" spans="1:12" ht="15.75" x14ac:dyDescent="0.2">
      <c r="B86" s="16"/>
      <c r="C86" s="66" t="s">
        <v>90</v>
      </c>
      <c r="D86" s="40"/>
      <c r="E86" s="40"/>
      <c r="F86" s="40"/>
      <c r="G86" s="65"/>
      <c r="H86" s="40"/>
      <c r="I86" s="9"/>
      <c r="J86" s="40"/>
      <c r="K86" s="9"/>
      <c r="L86" s="9"/>
    </row>
    <row r="87" spans="1:12" ht="15.75" x14ac:dyDescent="0.2">
      <c r="B87" s="16"/>
      <c r="C87" s="66"/>
      <c r="D87" s="40"/>
      <c r="E87" s="40"/>
      <c r="F87" s="40"/>
      <c r="G87" s="65"/>
      <c r="H87" s="40"/>
      <c r="I87" s="9"/>
      <c r="J87" s="40"/>
      <c r="K87" s="9"/>
      <c r="L87" s="9"/>
    </row>
    <row r="88" spans="1:12" x14ac:dyDescent="0.2">
      <c r="B88" s="2" t="s">
        <v>68</v>
      </c>
      <c r="E88" s="50" t="s">
        <v>0</v>
      </c>
      <c r="F88" s="51"/>
      <c r="G88" s="52"/>
      <c r="H88" s="50" t="s">
        <v>0</v>
      </c>
      <c r="I88" s="51"/>
      <c r="J88" s="50" t="s">
        <v>0</v>
      </c>
      <c r="K88" s="51"/>
      <c r="L88" s="50" t="s">
        <v>0</v>
      </c>
    </row>
    <row r="89" spans="1:12" x14ac:dyDescent="0.2">
      <c r="C89" s="24" t="s">
        <v>69</v>
      </c>
      <c r="E89" s="6">
        <v>2697.5</v>
      </c>
      <c r="F89" s="9"/>
      <c r="G89" s="8"/>
      <c r="H89" s="6">
        <v>1897.5</v>
      </c>
      <c r="I89" s="9"/>
      <c r="J89" s="6">
        <v>407</v>
      </c>
      <c r="K89" s="9"/>
      <c r="L89" s="6">
        <v>1997.62</v>
      </c>
    </row>
    <row r="90" spans="1:12" x14ac:dyDescent="0.2">
      <c r="C90" s="4" t="s">
        <v>1</v>
      </c>
      <c r="E90" s="6">
        <v>61461.32</v>
      </c>
      <c r="F90" s="9"/>
      <c r="G90" s="8"/>
      <c r="H90" s="6">
        <v>60598.61</v>
      </c>
      <c r="I90" s="9"/>
      <c r="J90" s="6">
        <v>31842.31</v>
      </c>
      <c r="K90" s="9"/>
      <c r="L90" s="6">
        <v>28634.25</v>
      </c>
    </row>
    <row r="91" spans="1:12" x14ac:dyDescent="0.2">
      <c r="C91" s="4" t="s">
        <v>2</v>
      </c>
      <c r="E91" s="6">
        <v>59002.15</v>
      </c>
      <c r="F91" s="26"/>
      <c r="G91" s="8"/>
      <c r="H91" s="6">
        <v>17762</v>
      </c>
      <c r="I91" s="9"/>
      <c r="J91" s="6">
        <v>58954.29</v>
      </c>
      <c r="K91" s="9"/>
      <c r="L91" s="6">
        <v>52853.120000000003</v>
      </c>
    </row>
    <row r="92" spans="1:12" x14ac:dyDescent="0.2">
      <c r="B92" s="2" t="s">
        <v>70</v>
      </c>
      <c r="E92" s="11">
        <f>SUM(E89:E91)</f>
        <v>123160.97</v>
      </c>
      <c r="F92" s="12"/>
      <c r="G92" s="25"/>
      <c r="H92" s="11">
        <f>SUM(H89:H91)</f>
        <v>80258.11</v>
      </c>
      <c r="I92" s="12"/>
      <c r="J92" s="11">
        <f>SUM(J89:J91)</f>
        <v>91203.6</v>
      </c>
      <c r="K92" s="12"/>
      <c r="L92" s="11">
        <f>SUM(L89:L91)</f>
        <v>83484.990000000005</v>
      </c>
    </row>
    <row r="93" spans="1:12" x14ac:dyDescent="0.2">
      <c r="F93" s="9"/>
      <c r="G93" s="8"/>
      <c r="I93" s="9"/>
      <c r="K93" s="9"/>
    </row>
    <row r="94" spans="1:12" x14ac:dyDescent="0.2">
      <c r="B94" s="2" t="s">
        <v>71</v>
      </c>
      <c r="E94" s="53">
        <v>59989.59</v>
      </c>
      <c r="F94" s="26"/>
      <c r="G94" s="8"/>
      <c r="H94" s="53">
        <v>100789.92</v>
      </c>
      <c r="I94" s="9"/>
      <c r="J94" s="53">
        <v>119495.78</v>
      </c>
      <c r="K94" s="9"/>
      <c r="L94" s="53">
        <v>74232.7</v>
      </c>
    </row>
    <row r="95" spans="1:12" x14ac:dyDescent="0.2">
      <c r="F95" s="9"/>
      <c r="G95" s="8"/>
      <c r="I95" s="9"/>
      <c r="K95" s="9"/>
    </row>
    <row r="96" spans="1:12" x14ac:dyDescent="0.2">
      <c r="B96" s="2" t="s">
        <v>72</v>
      </c>
      <c r="F96" s="9"/>
      <c r="G96" s="8"/>
      <c r="I96" s="9"/>
      <c r="K96" s="9"/>
    </row>
    <row r="97" spans="2:14" x14ac:dyDescent="0.2">
      <c r="C97" s="24" t="s">
        <v>73</v>
      </c>
      <c r="E97" s="6">
        <v>568344.30000000005</v>
      </c>
      <c r="F97" s="6"/>
      <c r="G97" s="8"/>
      <c r="H97" s="6">
        <v>601671.56000000006</v>
      </c>
      <c r="I97" s="9"/>
      <c r="J97" s="6">
        <v>570438.99</v>
      </c>
      <c r="K97" s="9"/>
      <c r="L97" s="6">
        <f>522876.55+56800.31</f>
        <v>579676.86</v>
      </c>
    </row>
    <row r="98" spans="2:14" x14ac:dyDescent="0.2">
      <c r="C98" s="24" t="s">
        <v>76</v>
      </c>
      <c r="E98" s="6">
        <v>327223.45</v>
      </c>
      <c r="F98" s="6"/>
      <c r="G98" s="8"/>
      <c r="H98" s="6">
        <v>333782.07</v>
      </c>
      <c r="I98" s="54"/>
      <c r="J98" s="6">
        <v>311005.64</v>
      </c>
      <c r="K98" s="54"/>
      <c r="L98" s="6">
        <v>302254.36</v>
      </c>
      <c r="N98" s="55"/>
    </row>
    <row r="99" spans="2:14" x14ac:dyDescent="0.2">
      <c r="C99" s="24" t="s">
        <v>75</v>
      </c>
      <c r="E99" s="6">
        <v>-233000</v>
      </c>
      <c r="F99" s="6"/>
      <c r="G99" s="8"/>
      <c r="H99" s="6">
        <v>-233000</v>
      </c>
      <c r="I99" s="54"/>
      <c r="J99" s="6">
        <v>-213000</v>
      </c>
      <c r="K99" s="54"/>
      <c r="L99" s="6">
        <v>-193000</v>
      </c>
    </row>
    <row r="100" spans="2:14" x14ac:dyDescent="0.2">
      <c r="C100" s="24" t="s">
        <v>97</v>
      </c>
      <c r="E100" s="71">
        <f>68935.16+10877.58+13605.73+1983.92</f>
        <v>95402.39</v>
      </c>
      <c r="F100" s="6"/>
      <c r="G100" s="8"/>
      <c r="H100" s="6">
        <v>0</v>
      </c>
      <c r="I100" s="54"/>
      <c r="J100" s="6">
        <v>0</v>
      </c>
      <c r="K100" s="54"/>
      <c r="L100" s="6">
        <v>0</v>
      </c>
    </row>
    <row r="101" spans="2:14" x14ac:dyDescent="0.2">
      <c r="C101" s="24" t="s">
        <v>77</v>
      </c>
      <c r="E101" s="71">
        <v>3100</v>
      </c>
      <c r="F101" s="71"/>
      <c r="G101" s="8"/>
      <c r="H101" s="71">
        <v>3100</v>
      </c>
      <c r="I101" s="9"/>
      <c r="J101" s="71">
        <f>842.48+9296.94+22805.92+3100</f>
        <v>36045.339999999997</v>
      </c>
      <c r="K101" s="9"/>
      <c r="L101" s="71">
        <f>5540.47+3100</f>
        <v>8640.4700000000012</v>
      </c>
      <c r="N101" s="55"/>
    </row>
    <row r="102" spans="2:14" x14ac:dyDescent="0.2">
      <c r="B102" s="2" t="s">
        <v>78</v>
      </c>
      <c r="E102" s="56">
        <f>SUM(E97:E101)</f>
        <v>761070.14</v>
      </c>
      <c r="F102" s="57"/>
      <c r="G102" s="8"/>
      <c r="H102" s="56">
        <f>SUM(H97:H101)</f>
        <v>705553.63000000012</v>
      </c>
      <c r="I102" s="9"/>
      <c r="J102" s="56">
        <f>SUM(J97:J101)</f>
        <v>704489.97</v>
      </c>
      <c r="K102" s="9"/>
      <c r="L102" s="56">
        <f>SUM(L97:L101)</f>
        <v>697571.69</v>
      </c>
      <c r="N102" s="55"/>
    </row>
    <row r="103" spans="2:14" x14ac:dyDescent="0.2">
      <c r="E103" s="6"/>
      <c r="F103" s="6"/>
      <c r="G103" s="8"/>
      <c r="H103" s="6"/>
      <c r="I103" s="9"/>
      <c r="J103" s="6"/>
      <c r="K103" s="9"/>
      <c r="L103" s="6"/>
      <c r="N103" s="55"/>
    </row>
    <row r="104" spans="2:14" ht="13.5" thickBot="1" x14ac:dyDescent="0.25">
      <c r="B104" s="2" t="s">
        <v>79</v>
      </c>
      <c r="E104" s="28">
        <f>SUM(E102,E94,E92)</f>
        <v>944220.7</v>
      </c>
      <c r="F104" s="12"/>
      <c r="G104" s="8"/>
      <c r="H104" s="28">
        <f>SUM(H102,H94,H92)</f>
        <v>886601.66000000015</v>
      </c>
      <c r="I104" s="41"/>
      <c r="J104" s="28">
        <f>SUM(J102,J94,J92)</f>
        <v>915189.35</v>
      </c>
      <c r="K104" s="41"/>
      <c r="L104" s="28">
        <f>SUM(L102,L94,L92)</f>
        <v>855289.37999999989</v>
      </c>
      <c r="N104" s="55"/>
    </row>
    <row r="105" spans="2:14" ht="13.5" thickTop="1" x14ac:dyDescent="0.2">
      <c r="E105" s="20"/>
      <c r="F105" s="20"/>
      <c r="G105" s="8"/>
      <c r="H105" s="20"/>
      <c r="I105" s="41"/>
      <c r="J105" s="20"/>
      <c r="K105" s="41"/>
      <c r="L105" s="20"/>
      <c r="N105" s="55"/>
    </row>
    <row r="106" spans="2:14" x14ac:dyDescent="0.2">
      <c r="B106" s="2" t="s">
        <v>80</v>
      </c>
      <c r="E106" s="29"/>
      <c r="F106" s="29"/>
      <c r="G106" s="8"/>
      <c r="H106" s="29"/>
      <c r="I106" s="9"/>
      <c r="J106" s="29"/>
      <c r="K106" s="9"/>
      <c r="L106" s="29"/>
      <c r="N106" s="55"/>
    </row>
    <row r="107" spans="2:14" x14ac:dyDescent="0.2">
      <c r="C107" s="24" t="s">
        <v>92</v>
      </c>
      <c r="E107" s="12">
        <v>79081.59</v>
      </c>
      <c r="F107" s="12"/>
      <c r="G107" s="25"/>
      <c r="H107" s="12">
        <v>58776.08</v>
      </c>
      <c r="I107" s="12"/>
      <c r="J107" s="12">
        <v>56810.94</v>
      </c>
      <c r="K107" s="12"/>
      <c r="L107" s="12">
        <v>58145.23</v>
      </c>
      <c r="N107" s="55"/>
    </row>
    <row r="108" spans="2:14" x14ac:dyDescent="0.2">
      <c r="C108" s="24" t="s">
        <v>81</v>
      </c>
      <c r="E108" s="6">
        <v>0</v>
      </c>
      <c r="F108" s="6"/>
      <c r="G108" s="8"/>
      <c r="H108" s="6">
        <v>0</v>
      </c>
      <c r="I108" s="9"/>
      <c r="J108" s="6">
        <v>0</v>
      </c>
      <c r="K108" s="9"/>
      <c r="L108" s="6">
        <v>1968.09</v>
      </c>
    </row>
    <row r="109" spans="2:14" x14ac:dyDescent="0.2">
      <c r="C109" s="24" t="s">
        <v>82</v>
      </c>
      <c r="E109" s="6">
        <v>3773.06</v>
      </c>
      <c r="F109" s="6"/>
      <c r="G109" s="8"/>
      <c r="H109" s="6">
        <v>6270.56</v>
      </c>
      <c r="I109" s="9"/>
      <c r="J109" s="6">
        <f>684.38+1543+1900.65</f>
        <v>4128.0300000000007</v>
      </c>
      <c r="K109" s="9"/>
      <c r="L109" s="6">
        <f>29.6+602.63+1194+2317.47+5000</f>
        <v>9143.7000000000007</v>
      </c>
    </row>
    <row r="110" spans="2:14" x14ac:dyDescent="0.2">
      <c r="C110" s="24" t="s">
        <v>83</v>
      </c>
      <c r="E110" s="6">
        <v>0</v>
      </c>
      <c r="F110" s="6"/>
      <c r="G110" s="8"/>
      <c r="H110" s="6">
        <v>0</v>
      </c>
      <c r="I110" s="9"/>
      <c r="J110" s="6">
        <v>60000</v>
      </c>
      <c r="K110" s="9"/>
      <c r="L110" s="6">
        <v>0</v>
      </c>
    </row>
    <row r="111" spans="2:14" x14ac:dyDescent="0.2">
      <c r="B111" s="2" t="s">
        <v>84</v>
      </c>
      <c r="E111" s="11">
        <f>SUM(E107:E110)</f>
        <v>82854.649999999994</v>
      </c>
      <c r="F111" s="12"/>
      <c r="G111" s="25"/>
      <c r="H111" s="11">
        <f>SUM(H107:H110)</f>
        <v>65046.64</v>
      </c>
      <c r="I111" s="12"/>
      <c r="J111" s="11">
        <f>SUM(J107:J110)</f>
        <v>120938.97</v>
      </c>
      <c r="K111" s="12"/>
      <c r="L111" s="11">
        <f>SUM(L107:L110)</f>
        <v>69257.02</v>
      </c>
    </row>
    <row r="112" spans="2:14" x14ac:dyDescent="0.2">
      <c r="E112" s="20"/>
      <c r="F112" s="20"/>
      <c r="G112" s="8"/>
      <c r="H112" s="20"/>
      <c r="I112" s="41"/>
      <c r="J112" s="20"/>
      <c r="K112" s="41"/>
      <c r="L112" s="20"/>
    </row>
    <row r="113" spans="2:12" x14ac:dyDescent="0.2">
      <c r="B113" s="2" t="s">
        <v>85</v>
      </c>
      <c r="E113" s="29"/>
      <c r="F113" s="29"/>
      <c r="G113" s="8"/>
      <c r="H113" s="29"/>
      <c r="I113" s="9"/>
      <c r="J113" s="29"/>
      <c r="K113" s="9"/>
      <c r="L113" s="29"/>
    </row>
    <row r="114" spans="2:12" x14ac:dyDescent="0.2">
      <c r="C114" s="24" t="s">
        <v>86</v>
      </c>
      <c r="E114" s="6">
        <v>821555.02</v>
      </c>
      <c r="F114" s="6"/>
      <c r="G114" s="8"/>
      <c r="H114" s="6">
        <v>794250.38</v>
      </c>
      <c r="I114" s="9"/>
      <c r="J114" s="6">
        <f>714704.71+79430.31-8102.68</f>
        <v>786032.34</v>
      </c>
      <c r="K114" s="9"/>
      <c r="L114" s="6">
        <v>714704.71</v>
      </c>
    </row>
    <row r="115" spans="2:12" x14ac:dyDescent="0.2">
      <c r="C115" s="24" t="s">
        <v>87</v>
      </c>
      <c r="E115" s="6">
        <f>E83</f>
        <v>39811.029999999904</v>
      </c>
      <c r="F115" s="6"/>
      <c r="G115" s="8"/>
      <c r="H115" s="6">
        <f>H83</f>
        <v>27304.64000000009</v>
      </c>
      <c r="I115" s="9"/>
      <c r="J115" s="6">
        <f>J83</f>
        <v>8218.0699999999561</v>
      </c>
      <c r="K115" s="9"/>
      <c r="L115" s="6">
        <f>L83</f>
        <v>71327.630000000092</v>
      </c>
    </row>
    <row r="116" spans="2:12" ht="13.5" thickBot="1" x14ac:dyDescent="0.25">
      <c r="B116" s="2" t="s">
        <v>88</v>
      </c>
      <c r="E116" s="28">
        <f>SUM(E114:E115)</f>
        <v>861366.04999999993</v>
      </c>
      <c r="F116" s="12"/>
      <c r="G116" s="8"/>
      <c r="H116" s="28">
        <f>SUM(H114:H115)</f>
        <v>821555.02000000014</v>
      </c>
      <c r="I116" s="12"/>
      <c r="J116" s="28">
        <f>SUM(J114:J115)</f>
        <v>794250.40999999992</v>
      </c>
      <c r="K116" s="12"/>
      <c r="L116" s="28">
        <f>SUM(L114:L115)</f>
        <v>786032.34000000008</v>
      </c>
    </row>
    <row r="117" spans="2:12" ht="13.5" thickTop="1" x14ac:dyDescent="0.2">
      <c r="E117" s="20"/>
      <c r="F117" s="20"/>
      <c r="G117" s="8"/>
      <c r="H117" s="20"/>
      <c r="I117" s="12"/>
      <c r="J117" s="20"/>
      <c r="K117" s="12"/>
      <c r="L117" s="20"/>
    </row>
    <row r="118" spans="2:12" ht="13.5" thickBot="1" x14ac:dyDescent="0.25">
      <c r="B118" s="2" t="s">
        <v>89</v>
      </c>
      <c r="E118" s="28">
        <f>E111+E116</f>
        <v>944220.7</v>
      </c>
      <c r="F118" s="12"/>
      <c r="G118" s="8"/>
      <c r="H118" s="28">
        <f>H111+H116</f>
        <v>886601.66000000015</v>
      </c>
      <c r="I118" s="12"/>
      <c r="J118" s="28">
        <f>J111+J116</f>
        <v>915189.37999999989</v>
      </c>
      <c r="K118" s="12"/>
      <c r="L118" s="28">
        <f>L111+L116</f>
        <v>855289.3600000001</v>
      </c>
    </row>
    <row r="119" spans="2:12" ht="13.5" thickTop="1" x14ac:dyDescent="0.2">
      <c r="E119" s="20"/>
      <c r="F119" s="20"/>
      <c r="G119" s="8"/>
      <c r="H119" s="20"/>
      <c r="I119" s="41"/>
      <c r="J119" s="20"/>
      <c r="K119" s="41"/>
      <c r="L119" s="20"/>
    </row>
    <row r="120" spans="2:12" x14ac:dyDescent="0.2">
      <c r="I120" s="9"/>
      <c r="K120" s="9"/>
    </row>
    <row r="121" spans="2:12" x14ac:dyDescent="0.2">
      <c r="B121" s="24"/>
    </row>
    <row r="122" spans="2:12" x14ac:dyDescent="0.2">
      <c r="B122" s="24"/>
    </row>
    <row r="123" spans="2:12" x14ac:dyDescent="0.2">
      <c r="B123" s="1"/>
    </row>
    <row r="124" spans="2:12" x14ac:dyDescent="0.2">
      <c r="B124" s="24"/>
    </row>
    <row r="126" spans="2:12" x14ac:dyDescent="0.2">
      <c r="B126" s="24"/>
      <c r="E126" s="24"/>
      <c r="H126" s="24"/>
    </row>
    <row r="130" spans="2:6" x14ac:dyDescent="0.2">
      <c r="B130" s="24"/>
      <c r="E130" s="24"/>
      <c r="F130" s="24"/>
    </row>
  </sheetData>
  <mergeCells count="7">
    <mergeCell ref="B80:C80"/>
    <mergeCell ref="B36:C36"/>
    <mergeCell ref="B46:C46"/>
    <mergeCell ref="B55:C55"/>
    <mergeCell ref="B57:C57"/>
    <mergeCell ref="B71:C71"/>
    <mergeCell ref="B75:C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selection activeCell="A38" sqref="A38"/>
    </sheetView>
  </sheetViews>
  <sheetFormatPr defaultRowHeight="12.75" x14ac:dyDescent="0.2"/>
  <cols>
    <col min="1" max="1" width="2.28515625" style="4" customWidth="1"/>
    <col min="2" max="2" width="3.85546875" style="4" customWidth="1"/>
    <col min="3" max="3" width="45.140625" style="4" customWidth="1"/>
    <col min="4" max="4" width="1.7109375" style="4" customWidth="1"/>
    <col min="5" max="5" width="7.7109375" style="4" customWidth="1"/>
    <col min="6" max="6" width="10.140625" style="4" bestFit="1" customWidth="1"/>
    <col min="7" max="7" width="1.7109375" style="4" customWidth="1"/>
    <col min="8" max="8" width="7.7109375" style="4" customWidth="1"/>
    <col min="9" max="9" width="1.7109375" style="4" customWidth="1"/>
    <col min="10" max="10" width="7.7109375" style="4" customWidth="1"/>
    <col min="11" max="11" width="1.7109375" style="4" customWidth="1"/>
    <col min="12" max="12" width="7.7109375" style="4" customWidth="1"/>
  </cols>
  <sheetData>
    <row r="1" spans="1:12" x14ac:dyDescent="0.2">
      <c r="C1" s="15" t="s">
        <v>32</v>
      </c>
      <c r="D1" s="9"/>
      <c r="E1" s="9"/>
      <c r="F1" s="9"/>
      <c r="G1" s="9"/>
      <c r="H1" s="9"/>
    </row>
    <row r="2" spans="1:12" ht="16.5" thickBot="1" x14ac:dyDescent="0.25">
      <c r="B2" s="16"/>
      <c r="C2" s="17" t="s">
        <v>93</v>
      </c>
      <c r="D2" s="18"/>
      <c r="E2" s="18"/>
      <c r="F2" s="18"/>
      <c r="G2" s="18"/>
      <c r="H2" s="18"/>
      <c r="I2" s="19"/>
      <c r="J2" s="19"/>
    </row>
    <row r="3" spans="1:12" ht="13.5" thickTop="1" x14ac:dyDescent="0.2">
      <c r="B3" s="20"/>
      <c r="C3" s="20"/>
      <c r="D3" s="20"/>
      <c r="E3" s="20"/>
      <c r="F3" s="20"/>
      <c r="I3" s="9"/>
      <c r="J3" s="9"/>
    </row>
    <row r="4" spans="1:12" x14ac:dyDescent="0.2">
      <c r="B4" s="2" t="s">
        <v>7</v>
      </c>
      <c r="E4" s="21" t="s">
        <v>8</v>
      </c>
      <c r="F4" s="22"/>
      <c r="G4" s="8"/>
      <c r="H4" s="23">
        <v>2016</v>
      </c>
      <c r="I4" s="9"/>
      <c r="J4" s="23">
        <v>2015</v>
      </c>
      <c r="K4" s="9"/>
      <c r="L4" s="23">
        <v>2014</v>
      </c>
    </row>
    <row r="5" spans="1:12" x14ac:dyDescent="0.2">
      <c r="C5" s="24" t="s">
        <v>6</v>
      </c>
      <c r="E5" s="6">
        <f>380811.74+1105.84+1819.3</f>
        <v>383736.88</v>
      </c>
      <c r="F5" s="6"/>
      <c r="G5" s="8"/>
      <c r="H5" s="6">
        <f>377144.06+821.2+4154.04</f>
        <v>382119.3</v>
      </c>
      <c r="I5" s="9"/>
      <c r="J5" s="6">
        <f>379878.29+1967.32+3302.52</f>
        <v>385148.13</v>
      </c>
      <c r="K5" s="9"/>
      <c r="L5" s="6">
        <f>419701.41+2145.96+4448.48</f>
        <v>426295.85</v>
      </c>
    </row>
    <row r="6" spans="1:12" x14ac:dyDescent="0.2">
      <c r="C6" s="24" t="s">
        <v>5</v>
      </c>
      <c r="E6" s="6">
        <v>50911.94</v>
      </c>
      <c r="F6" s="6"/>
      <c r="G6" s="8"/>
      <c r="H6" s="6">
        <v>46603.3</v>
      </c>
      <c r="I6" s="9"/>
      <c r="J6" s="6">
        <v>30798.94</v>
      </c>
      <c r="K6" s="9"/>
      <c r="L6" s="6">
        <v>25541.3</v>
      </c>
    </row>
    <row r="7" spans="1:12" x14ac:dyDescent="0.2">
      <c r="C7" s="24" t="s">
        <v>4</v>
      </c>
      <c r="E7" s="6">
        <v>82560.479999999996</v>
      </c>
      <c r="F7" s="6"/>
      <c r="G7" s="25"/>
      <c r="H7" s="6">
        <v>83248.88</v>
      </c>
      <c r="I7" s="26"/>
      <c r="J7" s="6">
        <v>86210.84</v>
      </c>
      <c r="K7" s="26"/>
      <c r="L7" s="6">
        <v>67375.759999999995</v>
      </c>
    </row>
    <row r="8" spans="1:12" x14ac:dyDescent="0.2">
      <c r="C8" s="27" t="s">
        <v>47</v>
      </c>
      <c r="E8" s="6">
        <v>173.89</v>
      </c>
      <c r="F8" s="6"/>
      <c r="G8" s="8"/>
      <c r="H8" s="6">
        <v>84.34</v>
      </c>
      <c r="I8" s="9"/>
      <c r="J8" s="6">
        <v>51.34</v>
      </c>
      <c r="K8" s="9"/>
      <c r="L8" s="6">
        <v>162.87</v>
      </c>
    </row>
    <row r="9" spans="1:12" ht="13.5" thickBot="1" x14ac:dyDescent="0.25">
      <c r="A9" s="12"/>
      <c r="B9" s="2" t="s">
        <v>9</v>
      </c>
      <c r="E9" s="28">
        <f>E5+E6+E7-E8</f>
        <v>517035.41</v>
      </c>
      <c r="F9" s="12"/>
      <c r="G9" s="25"/>
      <c r="H9" s="28">
        <f>H5+H6+H7-H8</f>
        <v>511887.13999999996</v>
      </c>
      <c r="I9" s="26"/>
      <c r="J9" s="28">
        <f>J5+J6+J7-J8</f>
        <v>502106.57</v>
      </c>
      <c r="K9" s="26"/>
      <c r="L9" s="28">
        <f>L5+L6+L7-L8</f>
        <v>519050.04</v>
      </c>
    </row>
    <row r="10" spans="1:12" ht="13.5" thickTop="1" x14ac:dyDescent="0.2">
      <c r="A10" s="12"/>
      <c r="B10" s="2"/>
      <c r="E10" s="30"/>
      <c r="F10" s="30"/>
      <c r="G10" s="25"/>
      <c r="H10" s="70"/>
      <c r="I10" s="26"/>
      <c r="J10" s="31"/>
      <c r="K10" s="26"/>
      <c r="L10" s="31"/>
    </row>
    <row r="11" spans="1:12" ht="33.75" x14ac:dyDescent="0.2">
      <c r="B11" s="2" t="s">
        <v>10</v>
      </c>
      <c r="E11" s="3" t="s">
        <v>25</v>
      </c>
      <c r="F11" s="32" t="s">
        <v>33</v>
      </c>
      <c r="G11" s="8"/>
      <c r="H11" s="6"/>
      <c r="I11" s="9"/>
      <c r="J11" s="6"/>
      <c r="K11" s="9"/>
      <c r="L11" s="6"/>
    </row>
    <row r="12" spans="1:12" x14ac:dyDescent="0.2">
      <c r="C12" s="4" t="s">
        <v>3</v>
      </c>
      <c r="E12" s="6">
        <v>146904.39000000001</v>
      </c>
      <c r="F12" s="33"/>
      <c r="G12" s="8"/>
      <c r="H12" s="6">
        <v>127159.15</v>
      </c>
      <c r="I12" s="9"/>
      <c r="J12" s="6">
        <v>230032.66</v>
      </c>
      <c r="K12" s="9"/>
      <c r="L12" s="6">
        <v>150218.14000000001</v>
      </c>
    </row>
    <row r="13" spans="1:12" x14ac:dyDescent="0.2">
      <c r="C13" s="24" t="s">
        <v>11</v>
      </c>
      <c r="E13" s="6">
        <v>42828.69</v>
      </c>
      <c r="F13" s="33">
        <v>4658</v>
      </c>
      <c r="G13" s="8"/>
      <c r="H13" s="6">
        <v>0</v>
      </c>
      <c r="I13" s="9"/>
      <c r="J13" s="6">
        <v>0</v>
      </c>
      <c r="K13" s="9"/>
      <c r="L13" s="6">
        <v>0</v>
      </c>
    </row>
    <row r="14" spans="1:12" x14ac:dyDescent="0.2">
      <c r="C14" s="24" t="s">
        <v>12</v>
      </c>
      <c r="E14" s="6">
        <v>103407.69</v>
      </c>
      <c r="F14" s="33">
        <v>78354</v>
      </c>
      <c r="G14" s="25"/>
      <c r="H14" s="6">
        <v>37250.01</v>
      </c>
      <c r="I14" s="9"/>
      <c r="J14" s="6">
        <v>29913.85</v>
      </c>
      <c r="K14" s="9"/>
      <c r="L14" s="6">
        <v>33226.14</v>
      </c>
    </row>
    <row r="15" spans="1:12" x14ac:dyDescent="0.2">
      <c r="C15" s="24" t="s">
        <v>13</v>
      </c>
      <c r="E15" s="6">
        <f>4517.43</f>
        <v>4517.43</v>
      </c>
      <c r="F15" s="33"/>
      <c r="G15" s="25"/>
      <c r="H15" s="6">
        <v>14374.33</v>
      </c>
      <c r="I15" s="9"/>
      <c r="J15" s="6">
        <v>12733.19</v>
      </c>
      <c r="K15" s="9"/>
      <c r="L15" s="6">
        <v>0</v>
      </c>
    </row>
    <row r="16" spans="1:12" x14ac:dyDescent="0.2">
      <c r="C16" s="24" t="s">
        <v>14</v>
      </c>
      <c r="E16" s="6">
        <v>0</v>
      </c>
      <c r="F16" s="33"/>
      <c r="G16" s="25"/>
      <c r="H16" s="6">
        <v>23717.73</v>
      </c>
      <c r="I16" s="9"/>
      <c r="J16" s="6">
        <v>0</v>
      </c>
      <c r="K16" s="9"/>
      <c r="L16" s="6">
        <v>0</v>
      </c>
    </row>
    <row r="17" spans="1:12" x14ac:dyDescent="0.2">
      <c r="C17" s="24" t="s">
        <v>15</v>
      </c>
      <c r="E17" s="6">
        <v>10576.59</v>
      </c>
      <c r="F17" s="33">
        <v>1918</v>
      </c>
      <c r="G17" s="25"/>
      <c r="H17" s="6">
        <v>7983.7</v>
      </c>
      <c r="I17" s="9"/>
      <c r="J17" s="6">
        <v>4262.42</v>
      </c>
      <c r="K17" s="9"/>
      <c r="L17" s="6">
        <v>0</v>
      </c>
    </row>
    <row r="18" spans="1:12" x14ac:dyDescent="0.2">
      <c r="C18" s="24" t="s">
        <v>16</v>
      </c>
      <c r="E18" s="6">
        <v>9296.94</v>
      </c>
      <c r="F18" s="33">
        <v>3181</v>
      </c>
      <c r="G18" s="25"/>
      <c r="H18" s="6">
        <v>0</v>
      </c>
      <c r="I18" s="9"/>
      <c r="J18" s="6">
        <v>20646.63</v>
      </c>
      <c r="K18" s="9"/>
      <c r="L18" s="6">
        <v>8080.35</v>
      </c>
    </row>
    <row r="19" spans="1:12" x14ac:dyDescent="0.2">
      <c r="C19" s="24" t="s">
        <v>17</v>
      </c>
      <c r="E19" s="6">
        <v>32990.589999999997</v>
      </c>
      <c r="F19" s="33"/>
      <c r="G19" s="25"/>
      <c r="H19" s="6">
        <v>0</v>
      </c>
      <c r="I19" s="9"/>
      <c r="J19" s="6">
        <v>0</v>
      </c>
      <c r="K19" s="9"/>
      <c r="L19" s="6">
        <v>22792.46</v>
      </c>
    </row>
    <row r="20" spans="1:12" x14ac:dyDescent="0.2">
      <c r="C20" s="24" t="s">
        <v>18</v>
      </c>
      <c r="E20" s="6">
        <v>10358.549999999999</v>
      </c>
      <c r="F20" s="34">
        <v>3410</v>
      </c>
      <c r="G20" s="25"/>
      <c r="H20" s="6">
        <v>12941.77</v>
      </c>
      <c r="I20" s="9"/>
      <c r="J20" s="6">
        <v>0</v>
      </c>
      <c r="K20" s="9"/>
      <c r="L20" s="6">
        <v>0</v>
      </c>
    </row>
    <row r="21" spans="1:12" x14ac:dyDescent="0.2">
      <c r="C21" s="24" t="s">
        <v>19</v>
      </c>
      <c r="E21" s="6">
        <f>4481.56+20011.05</f>
        <v>24492.61</v>
      </c>
      <c r="F21" s="34">
        <v>24493</v>
      </c>
      <c r="G21" s="25"/>
      <c r="H21" s="6">
        <v>36160.46</v>
      </c>
      <c r="I21" s="9"/>
      <c r="J21" s="6">
        <f>5772.13+10294.34</f>
        <v>16066.470000000001</v>
      </c>
      <c r="K21" s="9"/>
      <c r="L21" s="6">
        <v>10337.450000000001</v>
      </c>
    </row>
    <row r="22" spans="1:12" x14ac:dyDescent="0.2">
      <c r="C22" s="24" t="s">
        <v>20</v>
      </c>
      <c r="E22" s="6">
        <v>0</v>
      </c>
      <c r="F22" s="34"/>
      <c r="G22" s="25"/>
      <c r="H22" s="6">
        <v>0</v>
      </c>
      <c r="I22" s="9"/>
      <c r="J22" s="6">
        <v>3964.55</v>
      </c>
      <c r="K22" s="9"/>
      <c r="L22" s="6">
        <v>9331.6299999999992</v>
      </c>
    </row>
    <row r="23" spans="1:12" x14ac:dyDescent="0.2">
      <c r="C23" s="24" t="s">
        <v>21</v>
      </c>
      <c r="E23" s="6">
        <v>0</v>
      </c>
      <c r="F23" s="34"/>
      <c r="G23" s="25"/>
      <c r="H23" s="6">
        <v>87117.54</v>
      </c>
      <c r="I23" s="9"/>
      <c r="J23" s="6">
        <v>0</v>
      </c>
      <c r="K23" s="9"/>
      <c r="L23" s="6">
        <v>0</v>
      </c>
    </row>
    <row r="24" spans="1:12" x14ac:dyDescent="0.2">
      <c r="C24" s="24" t="s">
        <v>22</v>
      </c>
      <c r="E24" s="6">
        <v>100351.06</v>
      </c>
      <c r="F24" s="34">
        <v>50376</v>
      </c>
      <c r="G24" s="25"/>
      <c r="H24" s="6">
        <v>67584.759999999995</v>
      </c>
      <c r="I24" s="9"/>
      <c r="J24" s="6">
        <v>65489.04</v>
      </c>
      <c r="K24" s="9"/>
      <c r="L24" s="6">
        <v>87116.39</v>
      </c>
    </row>
    <row r="25" spans="1:12" x14ac:dyDescent="0.2">
      <c r="C25" s="24" t="s">
        <v>23</v>
      </c>
      <c r="E25" s="6">
        <v>71028.429999999993</v>
      </c>
      <c r="F25" s="34">
        <v>24691</v>
      </c>
      <c r="G25" s="25"/>
      <c r="H25" s="6">
        <v>35655.71</v>
      </c>
      <c r="I25" s="9"/>
      <c r="J25" s="6">
        <v>73631.429999999993</v>
      </c>
      <c r="K25" s="9"/>
      <c r="L25" s="6">
        <v>0</v>
      </c>
    </row>
    <row r="26" spans="1:12" x14ac:dyDescent="0.2">
      <c r="C26" s="24" t="s">
        <v>94</v>
      </c>
      <c r="E26" s="6">
        <v>0</v>
      </c>
      <c r="F26" s="34"/>
      <c r="G26" s="25"/>
      <c r="H26" s="6">
        <v>0</v>
      </c>
      <c r="I26" s="9"/>
      <c r="J26" s="6">
        <v>0</v>
      </c>
      <c r="K26" s="9"/>
      <c r="L26" s="6">
        <v>60133.22</v>
      </c>
    </row>
    <row r="27" spans="1:12" x14ac:dyDescent="0.2">
      <c r="C27" s="24" t="s">
        <v>26</v>
      </c>
      <c r="E27" s="6">
        <f>2865+21340.13+2728+40+5008.4+50</f>
        <v>32031.53</v>
      </c>
      <c r="F27" s="10">
        <v>6209</v>
      </c>
      <c r="G27" s="8"/>
      <c r="H27" s="6">
        <f>6370+19226.45+213.41+11262+4444.57</f>
        <v>41516.43</v>
      </c>
      <c r="I27" s="9"/>
      <c r="J27" s="6">
        <f>15908.61+3545+936.49+11956.21</f>
        <v>32346.31</v>
      </c>
      <c r="K27" s="9"/>
      <c r="L27" s="6">
        <f>3970+1638.84+7539.5</f>
        <v>13148.34</v>
      </c>
    </row>
    <row r="28" spans="1:12" x14ac:dyDescent="0.2">
      <c r="C28" s="24" t="s">
        <v>27</v>
      </c>
      <c r="E28" s="6">
        <f>40+2158.94+50+150+50+256</f>
        <v>2704.94</v>
      </c>
      <c r="F28" s="10"/>
      <c r="G28" s="8"/>
      <c r="H28" s="6">
        <f>1981+6843+350+128+4885+50</f>
        <v>14237</v>
      </c>
      <c r="I28" s="9"/>
      <c r="J28" s="6">
        <f>12889.6+1000+128+575+2359</f>
        <v>16951.599999999999</v>
      </c>
      <c r="K28" s="9"/>
      <c r="L28" s="6">
        <f>3591.2+7884+600+128+1305.1+430+200+2498</f>
        <v>16636.300000000003</v>
      </c>
    </row>
    <row r="29" spans="1:12" ht="25.5" x14ac:dyDescent="0.2">
      <c r="C29" s="5" t="s">
        <v>28</v>
      </c>
      <c r="E29" s="6">
        <f>756.4+1062+2795+133.3+5951</f>
        <v>10697.7</v>
      </c>
      <c r="F29" s="10"/>
      <c r="G29" s="8"/>
      <c r="H29" s="6">
        <f>2907.5+2332+3132</f>
        <v>8371.5</v>
      </c>
      <c r="I29" s="9"/>
      <c r="J29" s="6">
        <f>2071.1+3556+2562+1265.8</f>
        <v>9454.9</v>
      </c>
      <c r="K29" s="9"/>
      <c r="L29" s="6">
        <f>1146+6465+84.7</f>
        <v>7695.7</v>
      </c>
    </row>
    <row r="30" spans="1:12" x14ac:dyDescent="0.2">
      <c r="C30" s="24" t="s">
        <v>29</v>
      </c>
      <c r="E30" s="6">
        <v>592.20000000000005</v>
      </c>
      <c r="F30" s="35"/>
      <c r="G30" s="8"/>
      <c r="H30" s="6">
        <v>292.8</v>
      </c>
      <c r="I30" s="9"/>
      <c r="J30" s="6">
        <v>12329.22</v>
      </c>
      <c r="K30" s="9"/>
      <c r="L30" s="6">
        <v>7320.53</v>
      </c>
    </row>
    <row r="31" spans="1:12" x14ac:dyDescent="0.2">
      <c r="B31" s="2" t="s">
        <v>30</v>
      </c>
      <c r="E31" s="36">
        <f>SUM(E12:E30)</f>
        <v>602779.33999999985</v>
      </c>
      <c r="G31" s="25"/>
      <c r="H31" s="36">
        <f>SUM(H12:H30)</f>
        <v>514362.89</v>
      </c>
      <c r="I31" s="12"/>
      <c r="J31" s="36">
        <f>SUM(J12:J30)</f>
        <v>527822.2699999999</v>
      </c>
      <c r="K31" s="12"/>
      <c r="L31" s="36">
        <f>SUM(L12:L30)</f>
        <v>426036.65000000008</v>
      </c>
    </row>
    <row r="32" spans="1:12" x14ac:dyDescent="0.2">
      <c r="A32" s="63"/>
      <c r="B32" s="63"/>
      <c r="C32" s="24" t="s">
        <v>24</v>
      </c>
      <c r="D32" s="24"/>
      <c r="E32" s="68">
        <f>-3409.9-4657.65-3181.01-1918.24-50376.39-24691.39-30701.45-78353.81</f>
        <v>-197289.84</v>
      </c>
      <c r="F32" s="34">
        <f>SUM(F12:F30)</f>
        <v>197290</v>
      </c>
      <c r="G32" s="64"/>
      <c r="H32" s="68">
        <f>-10495.34-46802.5-30795.16-16392.06-14185.2</f>
        <v>-118670.26</v>
      </c>
      <c r="I32" s="15"/>
      <c r="J32" s="68">
        <f>-15556.1-4542.35-8302.9-12790.79-23148.84+4000</f>
        <v>-60340.979999999996</v>
      </c>
      <c r="K32" s="15"/>
      <c r="L32" s="68">
        <v>-27905.39</v>
      </c>
    </row>
    <row r="33" spans="1:12" x14ac:dyDescent="0.2">
      <c r="B33" s="2" t="s">
        <v>31</v>
      </c>
      <c r="E33" s="30">
        <f>E31+E32</f>
        <v>405489.49999999988</v>
      </c>
      <c r="F33" s="37"/>
      <c r="G33" s="25"/>
      <c r="H33" s="30">
        <f>H31+H32</f>
        <v>395692.63</v>
      </c>
      <c r="I33" s="12"/>
      <c r="J33" s="30">
        <f>J31+J32</f>
        <v>467481.28999999992</v>
      </c>
      <c r="K33" s="12"/>
      <c r="L33" s="30">
        <f>L31+L32</f>
        <v>398131.26000000007</v>
      </c>
    </row>
    <row r="34" spans="1:12" x14ac:dyDescent="0.2">
      <c r="F34" s="7"/>
      <c r="G34" s="8"/>
      <c r="I34" s="9"/>
      <c r="K34" s="9"/>
    </row>
    <row r="35" spans="1:12" x14ac:dyDescent="0.2">
      <c r="B35" s="2" t="s">
        <v>34</v>
      </c>
      <c r="E35" s="38">
        <v>-31232.57</v>
      </c>
      <c r="F35" s="26"/>
      <c r="G35" s="25"/>
      <c r="H35" s="38">
        <v>9237.8700000000008</v>
      </c>
      <c r="I35" s="14"/>
      <c r="J35" s="38">
        <v>-111027.95</v>
      </c>
      <c r="K35" s="14"/>
      <c r="L35" s="38">
        <v>-55396.06</v>
      </c>
    </row>
    <row r="36" spans="1:12" x14ac:dyDescent="0.2">
      <c r="F36" s="9"/>
      <c r="G36" s="8"/>
      <c r="I36" s="9"/>
      <c r="K36" s="9"/>
    </row>
    <row r="37" spans="1:12" ht="13.5" thickBot="1" x14ac:dyDescent="0.25">
      <c r="B37" s="123" t="s">
        <v>36</v>
      </c>
      <c r="C37" s="123"/>
      <c r="E37" s="13">
        <f>E33+E35</f>
        <v>374256.92999999988</v>
      </c>
      <c r="F37" s="9"/>
      <c r="G37" s="8"/>
      <c r="H37" s="13">
        <f>H33+H35</f>
        <v>404930.5</v>
      </c>
      <c r="I37" s="14"/>
      <c r="J37" s="13">
        <f>J33+J35</f>
        <v>356453.33999999991</v>
      </c>
      <c r="K37" s="14"/>
      <c r="L37" s="13">
        <f>L33+L35</f>
        <v>342735.20000000007</v>
      </c>
    </row>
    <row r="38" spans="1:12" ht="13.5" thickTop="1" x14ac:dyDescent="0.2">
      <c r="F38" s="9"/>
      <c r="G38" s="8"/>
      <c r="I38" s="9"/>
      <c r="K38" s="9"/>
    </row>
    <row r="39" spans="1:12" x14ac:dyDescent="0.2">
      <c r="F39" s="9"/>
      <c r="G39" s="8"/>
      <c r="I39" s="9"/>
      <c r="K39" s="9"/>
    </row>
    <row r="40" spans="1:12" x14ac:dyDescent="0.2">
      <c r="B40" s="2" t="s">
        <v>35</v>
      </c>
      <c r="E40" s="11">
        <f>E9-E37</f>
        <v>142778.4800000001</v>
      </c>
      <c r="F40" s="9"/>
      <c r="G40" s="8"/>
      <c r="H40" s="11">
        <f>H9-H37</f>
        <v>106956.63999999996</v>
      </c>
      <c r="I40" s="12"/>
      <c r="J40" s="11">
        <f>J9-J37</f>
        <v>145653.2300000001</v>
      </c>
      <c r="K40" s="12"/>
      <c r="L40" s="11">
        <f>L9-L37</f>
        <v>176314.83999999991</v>
      </c>
    </row>
    <row r="41" spans="1:12" x14ac:dyDescent="0.2">
      <c r="A41" s="58"/>
      <c r="B41" s="58"/>
      <c r="C41" s="58"/>
      <c r="D41" s="58"/>
      <c r="E41" s="59">
        <f>E40/E9</f>
        <v>0.27614835896829604</v>
      </c>
      <c r="F41" s="60"/>
      <c r="G41" s="61"/>
      <c r="H41" s="59">
        <f>H40/H9</f>
        <v>0.20894574534535088</v>
      </c>
      <c r="I41" s="62"/>
      <c r="J41" s="59">
        <f>J40/J9</f>
        <v>0.2900842942564964</v>
      </c>
      <c r="K41" s="62"/>
      <c r="L41" s="59">
        <f>L40/L9</f>
        <v>0.33968755690684449</v>
      </c>
    </row>
    <row r="42" spans="1:12" x14ac:dyDescent="0.2">
      <c r="E42" s="29"/>
      <c r="F42" s="9"/>
      <c r="G42" s="8"/>
      <c r="H42" s="29"/>
      <c r="I42" s="9"/>
      <c r="J42" s="29"/>
      <c r="K42" s="9"/>
      <c r="L42" s="29"/>
    </row>
    <row r="43" spans="1:12" x14ac:dyDescent="0.2">
      <c r="B43" s="2" t="s">
        <v>37</v>
      </c>
      <c r="E43" s="29"/>
      <c r="F43" s="9"/>
      <c r="G43" s="8"/>
      <c r="H43" s="29"/>
      <c r="I43" s="9"/>
      <c r="J43" s="29"/>
      <c r="K43" s="9"/>
      <c r="L43" s="29"/>
    </row>
    <row r="44" spans="1:12" x14ac:dyDescent="0.2">
      <c r="C44" s="24" t="s">
        <v>38</v>
      </c>
      <c r="E44" s="6">
        <f>19538.22+6122.08</f>
        <v>25660.300000000003</v>
      </c>
      <c r="F44" s="9"/>
      <c r="G44" s="8"/>
      <c r="H44" s="6">
        <f>122+17168.61+6641.03</f>
        <v>23931.64</v>
      </c>
      <c r="I44" s="9"/>
      <c r="J44" s="6">
        <v>19112.36</v>
      </c>
      <c r="K44" s="9"/>
      <c r="L44" s="6">
        <f>27926.11+6762.21</f>
        <v>34688.32</v>
      </c>
    </row>
    <row r="45" spans="1:12" x14ac:dyDescent="0.2">
      <c r="C45" s="24" t="s">
        <v>39</v>
      </c>
      <c r="E45" s="6">
        <v>0</v>
      </c>
      <c r="F45" s="9"/>
      <c r="G45" s="8"/>
      <c r="H45" s="6">
        <v>0</v>
      </c>
      <c r="I45" s="9"/>
      <c r="J45" s="6">
        <v>7175.06</v>
      </c>
      <c r="K45" s="9"/>
      <c r="L45" s="6">
        <v>3464.8</v>
      </c>
    </row>
    <row r="46" spans="1:12" x14ac:dyDescent="0.2">
      <c r="C46" s="24" t="s">
        <v>40</v>
      </c>
      <c r="E46" s="6">
        <v>852.4</v>
      </c>
      <c r="F46" s="9"/>
      <c r="G46" s="8"/>
      <c r="H46" s="6">
        <v>638.79999999999995</v>
      </c>
      <c r="I46" s="9"/>
      <c r="J46" s="6">
        <v>814.4</v>
      </c>
      <c r="K46" s="9"/>
      <c r="L46" s="6">
        <v>922</v>
      </c>
    </row>
    <row r="47" spans="1:12" x14ac:dyDescent="0.2">
      <c r="B47" s="123" t="s">
        <v>41</v>
      </c>
      <c r="C47" s="124"/>
      <c r="E47" s="11">
        <f>SUM(E44:E46)</f>
        <v>26512.700000000004</v>
      </c>
      <c r="F47" s="9"/>
      <c r="G47" s="8"/>
      <c r="H47" s="11">
        <f>SUM(H44:H46)</f>
        <v>24570.44</v>
      </c>
      <c r="I47" s="12"/>
      <c r="J47" s="11">
        <f>SUM(J44:J46)</f>
        <v>27101.820000000003</v>
      </c>
      <c r="K47" s="12"/>
      <c r="L47" s="11">
        <f>SUM(L44:L46)</f>
        <v>39075.120000000003</v>
      </c>
    </row>
    <row r="48" spans="1:12" x14ac:dyDescent="0.2">
      <c r="F48" s="9"/>
      <c r="G48" s="8"/>
      <c r="I48" s="9"/>
      <c r="K48" s="9"/>
    </row>
    <row r="49" spans="1:12" ht="13.5" thickBot="1" x14ac:dyDescent="0.25">
      <c r="B49" s="2" t="s">
        <v>42</v>
      </c>
      <c r="E49" s="39">
        <f>E40-E47</f>
        <v>116265.78000000009</v>
      </c>
      <c r="F49" s="9"/>
      <c r="G49" s="8"/>
      <c r="H49" s="39">
        <f>H40-H47</f>
        <v>82386.199999999953</v>
      </c>
      <c r="I49" s="40"/>
      <c r="J49" s="39">
        <f>J40-J47</f>
        <v>118551.41000000009</v>
      </c>
      <c r="K49" s="40"/>
      <c r="L49" s="39">
        <f>L40-L47</f>
        <v>137239.71999999991</v>
      </c>
    </row>
    <row r="50" spans="1:12" ht="13.5" thickTop="1" x14ac:dyDescent="0.2">
      <c r="A50" s="58"/>
      <c r="B50" s="58"/>
      <c r="C50" s="58"/>
      <c r="D50" s="58"/>
      <c r="E50" s="59">
        <f>E49/E9</f>
        <v>0.22487005290411366</v>
      </c>
      <c r="F50" s="60"/>
      <c r="G50" s="61"/>
      <c r="H50" s="59">
        <f>H49/H9</f>
        <v>0.16094602415680917</v>
      </c>
      <c r="I50" s="62"/>
      <c r="J50" s="59">
        <f>J49/J9</f>
        <v>0.23610806367261852</v>
      </c>
      <c r="K50" s="62"/>
      <c r="L50" s="59">
        <f>L49/L9</f>
        <v>0.26440556675421878</v>
      </c>
    </row>
    <row r="51" spans="1:12" x14ac:dyDescent="0.2">
      <c r="E51" s="29"/>
      <c r="F51" s="9"/>
      <c r="G51" s="8"/>
      <c r="H51" s="29"/>
      <c r="I51" s="9"/>
      <c r="J51" s="29"/>
      <c r="K51" s="9"/>
      <c r="L51" s="29"/>
    </row>
    <row r="52" spans="1:12" x14ac:dyDescent="0.2">
      <c r="B52" s="2" t="s">
        <v>43</v>
      </c>
      <c r="E52" s="29"/>
      <c r="F52" s="9"/>
      <c r="G52" s="8"/>
      <c r="H52" s="29"/>
      <c r="I52" s="9"/>
      <c r="J52" s="29"/>
      <c r="K52" s="9"/>
      <c r="L52" s="29"/>
    </row>
    <row r="53" spans="1:12" ht="25.5" x14ac:dyDescent="0.2">
      <c r="C53" s="5" t="s">
        <v>44</v>
      </c>
      <c r="E53" s="6">
        <v>5540</v>
      </c>
      <c r="F53" s="9"/>
      <c r="G53" s="8"/>
      <c r="H53" s="6">
        <v>4820</v>
      </c>
      <c r="I53" s="9"/>
      <c r="J53" s="6">
        <v>6000</v>
      </c>
      <c r="K53" s="9"/>
      <c r="L53" s="6">
        <v>4900</v>
      </c>
    </row>
    <row r="54" spans="1:12" x14ac:dyDescent="0.2">
      <c r="C54" s="24" t="s">
        <v>45</v>
      </c>
      <c r="E54" s="6">
        <v>0</v>
      </c>
      <c r="F54" s="9"/>
      <c r="G54" s="8"/>
      <c r="H54" s="6">
        <v>0</v>
      </c>
      <c r="I54" s="9"/>
      <c r="J54" s="6">
        <v>11.21</v>
      </c>
      <c r="K54" s="9"/>
      <c r="L54" s="6">
        <v>53.16</v>
      </c>
    </row>
    <row r="55" spans="1:12" x14ac:dyDescent="0.2">
      <c r="C55" s="24" t="s">
        <v>40</v>
      </c>
      <c r="E55" s="6">
        <v>400</v>
      </c>
      <c r="F55" s="9"/>
      <c r="G55" s="8"/>
      <c r="H55" s="6">
        <v>279.51</v>
      </c>
      <c r="I55" s="9"/>
      <c r="J55" s="6">
        <v>355</v>
      </c>
      <c r="K55" s="9"/>
      <c r="L55" s="6">
        <v>1208.01</v>
      </c>
    </row>
    <row r="56" spans="1:12" x14ac:dyDescent="0.2">
      <c r="B56" s="123" t="s">
        <v>46</v>
      </c>
      <c r="C56" s="124"/>
      <c r="E56" s="11">
        <f>SUM(E53:E55)</f>
        <v>5940</v>
      </c>
      <c r="F56" s="9"/>
      <c r="G56" s="8"/>
      <c r="H56" s="11">
        <f>SUM(H53:H55)</f>
        <v>5099.51</v>
      </c>
      <c r="I56" s="12"/>
      <c r="J56" s="11">
        <f>SUM(J53:J55)</f>
        <v>6366.21</v>
      </c>
      <c r="K56" s="12"/>
      <c r="L56" s="11">
        <f>SUM(L53:L55)</f>
        <v>6161.17</v>
      </c>
    </row>
    <row r="57" spans="1:12" x14ac:dyDescent="0.2">
      <c r="E57" s="20"/>
      <c r="F57" s="9"/>
      <c r="G57" s="8"/>
      <c r="H57" s="20"/>
      <c r="I57" s="41"/>
      <c r="J57" s="20"/>
      <c r="K57" s="41"/>
      <c r="L57" s="20"/>
    </row>
    <row r="58" spans="1:12" x14ac:dyDescent="0.2">
      <c r="B58" s="123" t="s">
        <v>60</v>
      </c>
      <c r="C58" s="124"/>
      <c r="E58" s="29"/>
      <c r="F58" s="9"/>
      <c r="G58" s="8"/>
      <c r="H58" s="29"/>
      <c r="I58" s="9"/>
      <c r="J58" s="29"/>
      <c r="K58" s="9"/>
      <c r="L58" s="29"/>
    </row>
    <row r="59" spans="1:12" x14ac:dyDescent="0.2">
      <c r="C59" s="24" t="s">
        <v>48</v>
      </c>
      <c r="E59" s="6">
        <f>34765+4345.66</f>
        <v>39110.660000000003</v>
      </c>
      <c r="F59" s="9"/>
      <c r="G59" s="8"/>
      <c r="H59" s="6">
        <f>34414+4301.78</f>
        <v>38715.78</v>
      </c>
      <c r="I59" s="9"/>
      <c r="J59" s="6">
        <f>31390+3923.79</f>
        <v>35313.79</v>
      </c>
      <c r="K59" s="9"/>
      <c r="L59" s="6">
        <f>28052+3506.56+389</f>
        <v>31947.56</v>
      </c>
    </row>
    <row r="60" spans="1:12" x14ac:dyDescent="0.2">
      <c r="C60" s="24" t="s">
        <v>49</v>
      </c>
      <c r="E60" s="6">
        <v>1733.5</v>
      </c>
      <c r="F60" s="9"/>
      <c r="G60" s="8"/>
      <c r="H60" s="6">
        <v>2530.5</v>
      </c>
      <c r="I60" s="9"/>
      <c r="J60" s="6">
        <v>1620.5</v>
      </c>
      <c r="K60" s="9"/>
      <c r="L60" s="6">
        <v>1980.3</v>
      </c>
    </row>
    <row r="61" spans="1:12" x14ac:dyDescent="0.2">
      <c r="C61" s="24" t="s">
        <v>50</v>
      </c>
      <c r="E61" s="6">
        <v>4024.18</v>
      </c>
      <c r="F61" s="9"/>
      <c r="G61" s="8"/>
      <c r="H61" s="6">
        <f>4105.76+844</f>
        <v>4949.76</v>
      </c>
      <c r="I61" s="9"/>
      <c r="J61" s="6">
        <f>2198.54+3350.4</f>
        <v>5548.9400000000005</v>
      </c>
      <c r="K61" s="9"/>
      <c r="L61" s="6">
        <f>2277.54+4109.6</f>
        <v>6387.14</v>
      </c>
    </row>
    <row r="62" spans="1:12" x14ac:dyDescent="0.2">
      <c r="C62" s="24" t="s">
        <v>51</v>
      </c>
      <c r="E62" s="6"/>
      <c r="F62" s="9"/>
      <c r="G62" s="8"/>
      <c r="H62" s="6">
        <v>315.60000000000002</v>
      </c>
      <c r="I62" s="9"/>
      <c r="J62" s="6">
        <v>154.84</v>
      </c>
      <c r="K62" s="9"/>
      <c r="L62" s="6">
        <v>311.60000000000002</v>
      </c>
    </row>
    <row r="63" spans="1:12" x14ac:dyDescent="0.2">
      <c r="C63" s="24" t="s">
        <v>52</v>
      </c>
      <c r="E63" s="6">
        <v>6562.71</v>
      </c>
      <c r="F63" s="9"/>
      <c r="G63" s="8"/>
      <c r="H63" s="6">
        <v>7043.03</v>
      </c>
      <c r="I63" s="9"/>
      <c r="J63" s="6">
        <v>5539.26</v>
      </c>
      <c r="K63" s="9"/>
      <c r="L63" s="6">
        <v>6022.5</v>
      </c>
    </row>
    <row r="64" spans="1:12" x14ac:dyDescent="0.2">
      <c r="C64" s="24" t="s">
        <v>53</v>
      </c>
      <c r="E64" s="6">
        <v>282.72000000000003</v>
      </c>
      <c r="F64" s="9"/>
      <c r="G64" s="8"/>
      <c r="H64" s="6">
        <f>104+143.52</f>
        <v>247.52</v>
      </c>
      <c r="I64" s="9"/>
      <c r="J64" s="6">
        <v>143.52000000000001</v>
      </c>
      <c r="K64" s="9"/>
      <c r="L64" s="6">
        <v>122.4</v>
      </c>
    </row>
    <row r="65" spans="2:12" x14ac:dyDescent="0.2">
      <c r="C65" s="24" t="s">
        <v>54</v>
      </c>
      <c r="E65" s="6">
        <v>3875.6</v>
      </c>
      <c r="F65" s="9"/>
      <c r="G65" s="8"/>
      <c r="H65" s="6">
        <v>1729.81</v>
      </c>
      <c r="I65" s="9"/>
      <c r="J65" s="6">
        <v>1809.6</v>
      </c>
      <c r="K65" s="9"/>
      <c r="L65" s="6">
        <v>8749.7999999999993</v>
      </c>
    </row>
    <row r="66" spans="2:12" ht="25.5" x14ac:dyDescent="0.2">
      <c r="C66" s="5" t="s">
        <v>55</v>
      </c>
      <c r="E66" s="6">
        <f>321.6+2979.2</f>
        <v>3300.7999999999997</v>
      </c>
      <c r="F66" s="9"/>
      <c r="G66" s="8"/>
      <c r="H66" s="6">
        <v>183.2</v>
      </c>
      <c r="I66" s="9"/>
      <c r="J66" s="6">
        <v>385.4</v>
      </c>
      <c r="K66" s="9"/>
      <c r="L66" s="6">
        <v>396</v>
      </c>
    </row>
    <row r="67" spans="2:12" x14ac:dyDescent="0.2">
      <c r="C67" s="24" t="s">
        <v>56</v>
      </c>
      <c r="E67" s="6">
        <v>1211.01</v>
      </c>
      <c r="F67" s="9"/>
      <c r="G67" s="8"/>
      <c r="H67" s="6">
        <v>293.16000000000003</v>
      </c>
      <c r="I67" s="9"/>
      <c r="J67" s="6">
        <v>430.34</v>
      </c>
      <c r="K67" s="9"/>
      <c r="L67" s="6">
        <v>575.77</v>
      </c>
    </row>
    <row r="68" spans="2:12" x14ac:dyDescent="0.2">
      <c r="C68" s="24" t="s">
        <v>95</v>
      </c>
      <c r="E68" s="6">
        <f>560+4360.32</f>
        <v>4920.32</v>
      </c>
      <c r="F68" s="9"/>
      <c r="G68" s="8"/>
      <c r="H68" s="6">
        <f>400+965.5</f>
        <v>1365.5</v>
      </c>
      <c r="I68" s="9"/>
      <c r="J68" s="6">
        <v>0</v>
      </c>
      <c r="K68" s="9"/>
      <c r="L68" s="6">
        <v>150</v>
      </c>
    </row>
    <row r="69" spans="2:12" x14ac:dyDescent="0.2">
      <c r="C69" s="24" t="s">
        <v>57</v>
      </c>
      <c r="E69" s="6">
        <v>923</v>
      </c>
      <c r="F69" s="9"/>
      <c r="G69" s="8"/>
      <c r="H69" s="6">
        <v>568</v>
      </c>
      <c r="I69" s="9"/>
      <c r="J69" s="6">
        <v>639</v>
      </c>
      <c r="K69" s="9"/>
      <c r="L69" s="6">
        <v>639</v>
      </c>
    </row>
    <row r="70" spans="2:12" x14ac:dyDescent="0.2">
      <c r="C70" s="24" t="s">
        <v>58</v>
      </c>
      <c r="E70" s="6">
        <v>1045.5</v>
      </c>
      <c r="F70" s="9"/>
      <c r="G70" s="8"/>
      <c r="H70" s="6">
        <v>1324.5</v>
      </c>
      <c r="I70" s="9"/>
      <c r="J70" s="6">
        <v>2004.8</v>
      </c>
      <c r="K70" s="9"/>
      <c r="L70" s="6">
        <v>3288</v>
      </c>
    </row>
    <row r="71" spans="2:12" x14ac:dyDescent="0.2">
      <c r="C71" s="24" t="s">
        <v>40</v>
      </c>
      <c r="E71" s="6">
        <v>225.12</v>
      </c>
      <c r="F71" s="9"/>
      <c r="G71" s="8"/>
      <c r="H71" s="6">
        <v>0</v>
      </c>
      <c r="I71" s="9"/>
      <c r="J71" s="6">
        <v>0</v>
      </c>
      <c r="K71" s="9"/>
      <c r="L71" s="6">
        <v>96</v>
      </c>
    </row>
    <row r="72" spans="2:12" x14ac:dyDescent="0.2">
      <c r="B72" s="123" t="s">
        <v>59</v>
      </c>
      <c r="C72" s="124"/>
      <c r="E72" s="11">
        <f>SUM(E59:E71)</f>
        <v>67215.12</v>
      </c>
      <c r="F72" s="26"/>
      <c r="G72" s="25"/>
      <c r="H72" s="11">
        <f>SUM(H59:H71)</f>
        <v>59266.359999999993</v>
      </c>
      <c r="I72" s="12"/>
      <c r="J72" s="11">
        <f>SUM(J59:J71)</f>
        <v>53589.99</v>
      </c>
      <c r="K72" s="12"/>
      <c r="L72" s="11">
        <f>SUM(L59:L71)</f>
        <v>60666.07</v>
      </c>
    </row>
    <row r="73" spans="2:12" x14ac:dyDescent="0.2">
      <c r="F73" s="9"/>
      <c r="G73" s="8"/>
      <c r="I73" s="9"/>
      <c r="K73" s="9"/>
    </row>
    <row r="74" spans="2:12" ht="13.5" thickBot="1" x14ac:dyDescent="0.25">
      <c r="B74" s="2" t="s">
        <v>61</v>
      </c>
      <c r="E74" s="28">
        <f>E49+E56-E72</f>
        <v>54990.660000000091</v>
      </c>
      <c r="F74" s="26"/>
      <c r="G74" s="25"/>
      <c r="H74" s="28">
        <f>H49+H56-H72</f>
        <v>28219.349999999955</v>
      </c>
      <c r="I74" s="12"/>
      <c r="J74" s="28">
        <f>J49+J56-J72</f>
        <v>71327.630000000092</v>
      </c>
      <c r="K74" s="12"/>
      <c r="L74" s="28">
        <f>L49+L56-L72</f>
        <v>82734.81999999992</v>
      </c>
    </row>
    <row r="75" spans="2:12" ht="13.5" thickTop="1" x14ac:dyDescent="0.2">
      <c r="E75" s="42"/>
      <c r="F75" s="9"/>
      <c r="G75" s="8"/>
      <c r="H75" s="42"/>
      <c r="I75" s="43"/>
      <c r="J75" s="42"/>
      <c r="K75" s="43"/>
      <c r="L75" s="42"/>
    </row>
    <row r="76" spans="2:12" x14ac:dyDescent="0.2">
      <c r="B76" s="123" t="s">
        <v>62</v>
      </c>
      <c r="C76" s="124"/>
      <c r="F76" s="9"/>
      <c r="G76" s="8"/>
      <c r="I76" s="9"/>
      <c r="K76" s="9"/>
    </row>
    <row r="77" spans="2:12" x14ac:dyDescent="0.2">
      <c r="C77" s="24" t="s">
        <v>63</v>
      </c>
      <c r="E77" s="6">
        <v>68.040000000000006</v>
      </c>
      <c r="F77" s="9"/>
      <c r="G77" s="8"/>
      <c r="H77" s="6">
        <v>1.28</v>
      </c>
      <c r="I77" s="9"/>
      <c r="J77" s="6">
        <v>0</v>
      </c>
      <c r="K77" s="9"/>
      <c r="L77" s="6">
        <v>0</v>
      </c>
    </row>
    <row r="78" spans="2:12" x14ac:dyDescent="0.2">
      <c r="C78" s="24" t="s">
        <v>74</v>
      </c>
      <c r="E78" s="6">
        <v>20000</v>
      </c>
      <c r="F78" s="26"/>
      <c r="G78" s="25"/>
      <c r="H78" s="6">
        <v>20000</v>
      </c>
      <c r="I78" s="9"/>
      <c r="J78" s="6">
        <v>0</v>
      </c>
      <c r="K78" s="9"/>
      <c r="L78" s="6">
        <v>0</v>
      </c>
    </row>
    <row r="79" spans="2:12" x14ac:dyDescent="0.2">
      <c r="C79" s="24" t="s">
        <v>64</v>
      </c>
      <c r="E79" s="6">
        <v>7617.98</v>
      </c>
      <c r="F79" s="26"/>
      <c r="G79" s="25"/>
      <c r="H79" s="6">
        <v>0</v>
      </c>
      <c r="I79" s="9"/>
      <c r="J79" s="6">
        <v>0</v>
      </c>
      <c r="K79" s="9"/>
      <c r="L79" s="6">
        <v>0</v>
      </c>
    </row>
    <row r="80" spans="2:12" x14ac:dyDescent="0.2">
      <c r="C80" s="24" t="s">
        <v>65</v>
      </c>
      <c r="E80" s="6">
        <v>0</v>
      </c>
      <c r="F80" s="9"/>
      <c r="G80" s="8"/>
      <c r="H80" s="6">
        <v>0</v>
      </c>
      <c r="I80" s="9"/>
      <c r="J80" s="6">
        <v>0</v>
      </c>
      <c r="K80" s="9"/>
      <c r="L80" s="6">
        <v>0</v>
      </c>
    </row>
    <row r="81" spans="1:12" ht="13.5" thickBot="1" x14ac:dyDescent="0.25">
      <c r="B81" s="123" t="s">
        <v>66</v>
      </c>
      <c r="C81" s="124"/>
      <c r="E81" s="28">
        <f>SUM(E77:E80)</f>
        <v>27686.02</v>
      </c>
      <c r="F81" s="26"/>
      <c r="G81" s="25"/>
      <c r="H81" s="28">
        <f>SUM(H77:H80)</f>
        <v>20001.28</v>
      </c>
      <c r="I81" s="41"/>
      <c r="J81" s="28">
        <f>SUM(J77:J80)</f>
        <v>0</v>
      </c>
      <c r="K81" s="41"/>
      <c r="L81" s="28">
        <f>SUM(L77:L80)</f>
        <v>0</v>
      </c>
    </row>
    <row r="82" spans="1:12" ht="13.5" thickTop="1" x14ac:dyDescent="0.2">
      <c r="E82" s="20"/>
      <c r="F82" s="9"/>
      <c r="G82" s="8"/>
      <c r="H82" s="20"/>
      <c r="I82" s="41"/>
      <c r="J82" s="20"/>
      <c r="K82" s="41"/>
      <c r="L82" s="20"/>
    </row>
    <row r="83" spans="1:12" x14ac:dyDescent="0.2">
      <c r="F83" s="9"/>
      <c r="G83" s="8"/>
      <c r="I83" s="9"/>
      <c r="K83" s="9"/>
    </row>
    <row r="84" spans="1:12" ht="13.5" thickBot="1" x14ac:dyDescent="0.25">
      <c r="A84" s="9"/>
      <c r="B84" s="44" t="s">
        <v>67</v>
      </c>
      <c r="D84" s="9"/>
      <c r="E84" s="45">
        <f>E74-E81</f>
        <v>27304.64000000009</v>
      </c>
      <c r="F84" s="26"/>
      <c r="G84" s="25"/>
      <c r="H84" s="45">
        <f>H74-H81</f>
        <v>8218.0699999999561</v>
      </c>
      <c r="I84" s="12"/>
      <c r="J84" s="45">
        <f>J74-J81</f>
        <v>71327.630000000092</v>
      </c>
      <c r="K84" s="12"/>
      <c r="L84" s="45">
        <f>L74-L81</f>
        <v>82734.81999999992</v>
      </c>
    </row>
    <row r="85" spans="1:12" ht="13.5" thickTop="1" x14ac:dyDescent="0.2">
      <c r="B85" s="46"/>
      <c r="C85" s="46"/>
      <c r="D85" s="46"/>
      <c r="E85" s="47"/>
      <c r="F85" s="46"/>
      <c r="G85" s="48"/>
      <c r="H85" s="47"/>
      <c r="I85" s="49"/>
      <c r="J85" s="47"/>
      <c r="K85" s="49"/>
      <c r="L85" s="47"/>
    </row>
    <row r="86" spans="1:12" x14ac:dyDescent="0.2">
      <c r="E86" s="29"/>
      <c r="F86" s="9"/>
      <c r="G86" s="67"/>
      <c r="H86" s="29"/>
      <c r="I86" s="9"/>
      <c r="J86" s="29"/>
      <c r="K86" s="9"/>
      <c r="L86" s="29"/>
    </row>
    <row r="87" spans="1:12" ht="15.75" x14ac:dyDescent="0.2">
      <c r="B87" s="16"/>
      <c r="C87" s="66" t="s">
        <v>90</v>
      </c>
      <c r="D87" s="40"/>
      <c r="E87" s="40"/>
      <c r="F87" s="40"/>
      <c r="G87" s="65"/>
      <c r="H87" s="40"/>
      <c r="I87" s="9"/>
      <c r="J87" s="9"/>
    </row>
    <row r="88" spans="1:12" ht="15.75" x14ac:dyDescent="0.2">
      <c r="B88" s="16"/>
      <c r="C88" s="66"/>
      <c r="D88" s="40"/>
      <c r="E88" s="40"/>
      <c r="F88" s="40"/>
      <c r="G88" s="65"/>
      <c r="H88" s="40"/>
      <c r="I88" s="9"/>
      <c r="J88" s="9"/>
    </row>
    <row r="89" spans="1:12" x14ac:dyDescent="0.2">
      <c r="B89" s="2" t="s">
        <v>68</v>
      </c>
      <c r="E89" s="50" t="s">
        <v>0</v>
      </c>
      <c r="F89" s="51"/>
      <c r="G89" s="52"/>
      <c r="H89" s="50" t="s">
        <v>0</v>
      </c>
      <c r="I89" s="51"/>
      <c r="J89" s="50" t="s">
        <v>0</v>
      </c>
      <c r="K89" s="51"/>
      <c r="L89" s="50" t="s">
        <v>0</v>
      </c>
    </row>
    <row r="90" spans="1:12" x14ac:dyDescent="0.2">
      <c r="C90" s="24" t="s">
        <v>69</v>
      </c>
      <c r="E90" s="6">
        <v>1897.5</v>
      </c>
      <c r="F90" s="9"/>
      <c r="G90" s="8"/>
      <c r="H90" s="6">
        <v>407</v>
      </c>
      <c r="I90" s="9"/>
      <c r="J90" s="6">
        <v>1997.62</v>
      </c>
      <c r="K90" s="9"/>
      <c r="L90" s="6">
        <v>2682</v>
      </c>
    </row>
    <row r="91" spans="1:12" x14ac:dyDescent="0.2">
      <c r="C91" s="4" t="s">
        <v>1</v>
      </c>
      <c r="E91" s="6">
        <v>60598.61</v>
      </c>
      <c r="F91" s="9"/>
      <c r="G91" s="8"/>
      <c r="H91" s="6">
        <v>31842.31</v>
      </c>
      <c r="I91" s="9"/>
      <c r="J91" s="6">
        <v>28634.25</v>
      </c>
      <c r="K91" s="9"/>
      <c r="L91" s="6">
        <v>33971.47</v>
      </c>
    </row>
    <row r="92" spans="1:12" x14ac:dyDescent="0.2">
      <c r="C92" s="4" t="s">
        <v>2</v>
      </c>
      <c r="E92" s="6">
        <v>17762</v>
      </c>
      <c r="F92" s="26"/>
      <c r="G92" s="8"/>
      <c r="H92" s="6">
        <v>58954.29</v>
      </c>
      <c r="I92" s="9"/>
      <c r="J92" s="6">
        <v>52853.120000000003</v>
      </c>
      <c r="K92" s="9"/>
      <c r="L92" s="6">
        <v>48906.879999999997</v>
      </c>
    </row>
    <row r="93" spans="1:12" x14ac:dyDescent="0.2">
      <c r="B93" s="2" t="s">
        <v>70</v>
      </c>
      <c r="E93" s="11">
        <f>SUM(E90:E92)</f>
        <v>80258.11</v>
      </c>
      <c r="F93" s="12"/>
      <c r="G93" s="25"/>
      <c r="H93" s="11">
        <f>SUM(H90:H92)</f>
        <v>91203.6</v>
      </c>
      <c r="I93" s="12"/>
      <c r="J93" s="11">
        <f>SUM(J90:J92)</f>
        <v>83484.990000000005</v>
      </c>
      <c r="K93" s="12"/>
      <c r="L93" s="11">
        <f>SUM(L90:L92)</f>
        <v>85560.35</v>
      </c>
    </row>
    <row r="94" spans="1:12" x14ac:dyDescent="0.2">
      <c r="F94" s="9"/>
      <c r="G94" s="8"/>
      <c r="I94" s="9"/>
      <c r="K94" s="9"/>
    </row>
    <row r="95" spans="1:12" x14ac:dyDescent="0.2">
      <c r="B95" s="2" t="s">
        <v>71</v>
      </c>
      <c r="E95" s="53">
        <v>100789.92</v>
      </c>
      <c r="F95" s="26"/>
      <c r="G95" s="8"/>
      <c r="H95" s="53">
        <v>119495.78</v>
      </c>
      <c r="I95" s="9"/>
      <c r="J95" s="53">
        <v>74232.7</v>
      </c>
      <c r="K95" s="9"/>
      <c r="L95" s="53">
        <v>147131.34</v>
      </c>
    </row>
    <row r="96" spans="1:12" x14ac:dyDescent="0.2">
      <c r="F96" s="9"/>
      <c r="G96" s="8"/>
      <c r="I96" s="9"/>
      <c r="K96" s="9"/>
    </row>
    <row r="97" spans="2:12" x14ac:dyDescent="0.2">
      <c r="B97" s="2" t="s">
        <v>72</v>
      </c>
      <c r="F97" s="9"/>
      <c r="G97" s="8"/>
      <c r="I97" s="9"/>
      <c r="K97" s="9"/>
    </row>
    <row r="98" spans="2:12" x14ac:dyDescent="0.2">
      <c r="C98" s="24" t="s">
        <v>73</v>
      </c>
      <c r="E98" s="6">
        <v>601671.56000000006</v>
      </c>
      <c r="F98" s="6"/>
      <c r="G98" s="8"/>
      <c r="H98" s="6">
        <v>570438.99</v>
      </c>
      <c r="I98" s="9"/>
      <c r="J98" s="6">
        <f>522876.55+56800.31</f>
        <v>579676.86</v>
      </c>
      <c r="K98" s="9"/>
      <c r="L98" s="6">
        <v>468648.91</v>
      </c>
    </row>
    <row r="99" spans="2:12" x14ac:dyDescent="0.2">
      <c r="C99" s="24" t="s">
        <v>76</v>
      </c>
      <c r="E99" s="6">
        <v>333782.07</v>
      </c>
      <c r="F99" s="6"/>
      <c r="G99" s="8"/>
      <c r="H99" s="6">
        <v>311005.64</v>
      </c>
      <c r="I99" s="54"/>
      <c r="J99" s="6">
        <v>302254.36</v>
      </c>
      <c r="K99" s="54"/>
      <c r="L99" s="6">
        <v>291675.25</v>
      </c>
    </row>
    <row r="100" spans="2:12" x14ac:dyDescent="0.2">
      <c r="C100" s="24" t="s">
        <v>75</v>
      </c>
      <c r="E100" s="6">
        <v>-233000</v>
      </c>
      <c r="F100" s="6"/>
      <c r="G100" s="8"/>
      <c r="H100" s="6">
        <v>-213000</v>
      </c>
      <c r="I100" s="54"/>
      <c r="J100" s="6">
        <v>-193000</v>
      </c>
      <c r="K100" s="54"/>
      <c r="L100" s="6">
        <v>-193000</v>
      </c>
    </row>
    <row r="101" spans="2:12" x14ac:dyDescent="0.2">
      <c r="C101" s="24" t="s">
        <v>77</v>
      </c>
      <c r="E101" s="71">
        <v>3100</v>
      </c>
      <c r="F101" s="71"/>
      <c r="G101" s="8"/>
      <c r="H101" s="71">
        <f>842.48+9296.94+22805.92+3100</f>
        <v>36045.339999999997</v>
      </c>
      <c r="I101" s="9"/>
      <c r="J101" s="71">
        <f>5540.47+3100</f>
        <v>8640.4700000000012</v>
      </c>
      <c r="K101" s="9"/>
      <c r="L101" s="6">
        <f>6151.33+5590.99+3100</f>
        <v>14842.32</v>
      </c>
    </row>
    <row r="102" spans="2:12" x14ac:dyDescent="0.2">
      <c r="B102" s="2" t="s">
        <v>78</v>
      </c>
      <c r="E102" s="56">
        <f>SUM(E98:E101)</f>
        <v>705553.63000000012</v>
      </c>
      <c r="F102" s="57"/>
      <c r="G102" s="8"/>
      <c r="H102" s="56">
        <f>SUM(H98:H101)</f>
        <v>704489.97</v>
      </c>
      <c r="I102" s="9"/>
      <c r="J102" s="56">
        <f>SUM(J98:J101)</f>
        <v>697571.69</v>
      </c>
      <c r="K102" s="9"/>
      <c r="L102" s="56">
        <f>SUM(L98:L101)</f>
        <v>582166.47999999986</v>
      </c>
    </row>
    <row r="103" spans="2:12" x14ac:dyDescent="0.2">
      <c r="E103" s="6"/>
      <c r="F103" s="6"/>
      <c r="G103" s="8"/>
      <c r="H103" s="6"/>
      <c r="I103" s="9"/>
      <c r="J103" s="6"/>
      <c r="K103" s="9"/>
      <c r="L103" s="6"/>
    </row>
    <row r="104" spans="2:12" ht="13.5" thickBot="1" x14ac:dyDescent="0.25">
      <c r="B104" s="2" t="s">
        <v>79</v>
      </c>
      <c r="E104" s="28">
        <f>SUM(E102,E95,E93)</f>
        <v>886601.66000000015</v>
      </c>
      <c r="F104" s="12"/>
      <c r="G104" s="8"/>
      <c r="H104" s="28">
        <f>SUM(H102,H95,H93)</f>
        <v>915189.35</v>
      </c>
      <c r="I104" s="41"/>
      <c r="J104" s="28">
        <f>SUM(J102,J95,J93)</f>
        <v>855289.37999999989</v>
      </c>
      <c r="K104" s="41"/>
      <c r="L104" s="28">
        <f>SUM(L102,L95,L93)</f>
        <v>814858.16999999981</v>
      </c>
    </row>
    <row r="105" spans="2:12" ht="13.5" thickTop="1" x14ac:dyDescent="0.2">
      <c r="E105" s="20"/>
      <c r="F105" s="20"/>
      <c r="G105" s="8"/>
      <c r="H105" s="20"/>
      <c r="I105" s="41"/>
      <c r="J105" s="20"/>
      <c r="K105" s="41"/>
      <c r="L105" s="20"/>
    </row>
    <row r="106" spans="2:12" x14ac:dyDescent="0.2">
      <c r="B106" s="2" t="s">
        <v>80</v>
      </c>
      <c r="E106" s="29"/>
      <c r="F106" s="29"/>
      <c r="G106" s="8"/>
      <c r="H106" s="29"/>
      <c r="I106" s="9"/>
      <c r="J106" s="29"/>
      <c r="K106" s="9"/>
      <c r="L106" s="29"/>
    </row>
    <row r="107" spans="2:12" x14ac:dyDescent="0.2">
      <c r="C107" s="24" t="s">
        <v>96</v>
      </c>
      <c r="E107" s="12">
        <v>58776.08</v>
      </c>
      <c r="F107" s="12"/>
      <c r="G107" s="25"/>
      <c r="H107" s="12">
        <v>56810.94</v>
      </c>
      <c r="I107" s="12"/>
      <c r="J107" s="12">
        <v>58145.23</v>
      </c>
      <c r="K107" s="12"/>
      <c r="L107" s="12">
        <v>39675.96</v>
      </c>
    </row>
    <row r="108" spans="2:12" x14ac:dyDescent="0.2">
      <c r="C108" s="24" t="s">
        <v>81</v>
      </c>
      <c r="E108" s="6">
        <v>0</v>
      </c>
      <c r="F108" s="6"/>
      <c r="G108" s="8"/>
      <c r="H108" s="6">
        <v>0</v>
      </c>
      <c r="I108" s="9"/>
      <c r="J108" s="6">
        <v>1968.09</v>
      </c>
      <c r="K108" s="9"/>
      <c r="L108" s="6">
        <v>19468.09</v>
      </c>
    </row>
    <row r="109" spans="2:12" x14ac:dyDescent="0.2">
      <c r="C109" s="24" t="s">
        <v>82</v>
      </c>
      <c r="E109" s="6">
        <v>6270.56</v>
      </c>
      <c r="F109" s="6"/>
      <c r="G109" s="8"/>
      <c r="H109" s="6">
        <f>684.38+1543+1900.65</f>
        <v>4128.0300000000007</v>
      </c>
      <c r="I109" s="9"/>
      <c r="J109" s="6">
        <f>29.6+602.63+1194+2317.47+5000</f>
        <v>9143.7000000000007</v>
      </c>
      <c r="K109" s="9"/>
      <c r="L109" s="6">
        <f>1021.64+276+4711.77</f>
        <v>6009.41</v>
      </c>
    </row>
    <row r="110" spans="2:12" x14ac:dyDescent="0.2">
      <c r="C110" s="24" t="s">
        <v>83</v>
      </c>
      <c r="E110" s="6">
        <v>0</v>
      </c>
      <c r="F110" s="6"/>
      <c r="G110" s="8"/>
      <c r="H110" s="6">
        <v>60000</v>
      </c>
      <c r="I110" s="9"/>
      <c r="J110" s="6">
        <v>0</v>
      </c>
      <c r="K110" s="9"/>
      <c r="L110" s="6">
        <v>35000</v>
      </c>
    </row>
    <row r="111" spans="2:12" x14ac:dyDescent="0.2">
      <c r="B111" s="2" t="s">
        <v>84</v>
      </c>
      <c r="E111" s="11">
        <f>SUM(E107:E110)</f>
        <v>65046.64</v>
      </c>
      <c r="F111" s="12"/>
      <c r="G111" s="25"/>
      <c r="H111" s="11">
        <f>SUM(H107:H110)</f>
        <v>120938.97</v>
      </c>
      <c r="I111" s="12"/>
      <c r="J111" s="11">
        <f>SUM(J107:J110)</f>
        <v>69257.02</v>
      </c>
      <c r="K111" s="12"/>
      <c r="L111" s="11">
        <f>SUM(L107:L110)</f>
        <v>100153.46</v>
      </c>
    </row>
    <row r="112" spans="2:12" x14ac:dyDescent="0.2">
      <c r="E112" s="20"/>
      <c r="F112" s="20"/>
      <c r="G112" s="8"/>
      <c r="H112" s="20"/>
      <c r="I112" s="41"/>
      <c r="J112" s="20"/>
      <c r="K112" s="41"/>
      <c r="L112" s="20"/>
    </row>
    <row r="113" spans="2:12" x14ac:dyDescent="0.2">
      <c r="B113" s="2" t="s">
        <v>85</v>
      </c>
      <c r="E113" s="29"/>
      <c r="F113" s="29"/>
      <c r="G113" s="8"/>
      <c r="H113" s="29"/>
      <c r="I113" s="9"/>
      <c r="J113" s="29"/>
      <c r="K113" s="9"/>
      <c r="L113" s="29"/>
    </row>
    <row r="114" spans="2:12" x14ac:dyDescent="0.2">
      <c r="C114" s="24" t="s">
        <v>86</v>
      </c>
      <c r="E114" s="6">
        <v>794250.38</v>
      </c>
      <c r="F114" s="6"/>
      <c r="G114" s="8"/>
      <c r="H114" s="6">
        <f>714704.71+79430.31-8102.68</f>
        <v>786032.34</v>
      </c>
      <c r="I114" s="9"/>
      <c r="J114" s="6">
        <v>714704.71</v>
      </c>
      <c r="K114" s="9"/>
      <c r="L114" s="6">
        <v>631669.46</v>
      </c>
    </row>
    <row r="115" spans="2:12" x14ac:dyDescent="0.2">
      <c r="C115" s="24" t="s">
        <v>87</v>
      </c>
      <c r="E115" s="6">
        <f>E84</f>
        <v>27304.64000000009</v>
      </c>
      <c r="F115" s="6"/>
      <c r="G115" s="8"/>
      <c r="H115" s="6">
        <f>H84</f>
        <v>8218.0699999999561</v>
      </c>
      <c r="I115" s="9"/>
      <c r="J115" s="6">
        <f>J84</f>
        <v>71327.630000000092</v>
      </c>
      <c r="K115" s="9"/>
      <c r="L115" s="6">
        <f>L84</f>
        <v>82734.81999999992</v>
      </c>
    </row>
    <row r="116" spans="2:12" ht="13.5" thickBot="1" x14ac:dyDescent="0.25">
      <c r="B116" s="2" t="s">
        <v>88</v>
      </c>
      <c r="E116" s="28">
        <f>SUM(E114:E115)</f>
        <v>821555.02000000014</v>
      </c>
      <c r="F116" s="12"/>
      <c r="G116" s="8"/>
      <c r="H116" s="28">
        <f>SUM(H114:H115)</f>
        <v>794250.40999999992</v>
      </c>
      <c r="I116" s="12"/>
      <c r="J116" s="28">
        <f>SUM(J114:J115)</f>
        <v>786032.34000000008</v>
      </c>
      <c r="K116" s="12"/>
      <c r="L116" s="28">
        <f>SUM(L114:L115)</f>
        <v>714404.27999999991</v>
      </c>
    </row>
    <row r="117" spans="2:12" ht="13.5" thickTop="1" x14ac:dyDescent="0.2">
      <c r="E117" s="20"/>
      <c r="F117" s="20"/>
      <c r="G117" s="8"/>
      <c r="H117" s="20"/>
      <c r="I117" s="12"/>
      <c r="J117" s="20"/>
      <c r="K117" s="12"/>
      <c r="L117" s="20"/>
    </row>
    <row r="118" spans="2:12" ht="13.5" thickBot="1" x14ac:dyDescent="0.25">
      <c r="B118" s="2" t="s">
        <v>89</v>
      </c>
      <c r="E118" s="28">
        <f>E111+E116</f>
        <v>886601.66000000015</v>
      </c>
      <c r="F118" s="12"/>
      <c r="G118" s="8"/>
      <c r="H118" s="28">
        <f>H111+H116</f>
        <v>915189.37999999989</v>
      </c>
      <c r="I118" s="12"/>
      <c r="J118" s="28">
        <f>J111+J116</f>
        <v>855289.3600000001</v>
      </c>
      <c r="K118" s="12"/>
      <c r="L118" s="28">
        <f>L111+L116</f>
        <v>814557.73999999987</v>
      </c>
    </row>
    <row r="119" spans="2:12" ht="13.5" thickTop="1" x14ac:dyDescent="0.2">
      <c r="E119" s="20"/>
      <c r="F119" s="20"/>
      <c r="G119" s="8"/>
      <c r="H119" s="20"/>
      <c r="I119" s="41"/>
      <c r="J119" s="20"/>
      <c r="K119" s="41"/>
      <c r="L119" s="20"/>
    </row>
    <row r="120" spans="2:12" x14ac:dyDescent="0.2">
      <c r="I120" s="9"/>
      <c r="K120" s="9"/>
    </row>
    <row r="121" spans="2:12" x14ac:dyDescent="0.2">
      <c r="B121" s="24"/>
    </row>
    <row r="122" spans="2:12" x14ac:dyDescent="0.2">
      <c r="B122" s="24"/>
    </row>
    <row r="123" spans="2:12" x14ac:dyDescent="0.2">
      <c r="B123" s="1"/>
    </row>
    <row r="124" spans="2:12" x14ac:dyDescent="0.2">
      <c r="B124" s="24"/>
    </row>
    <row r="126" spans="2:12" x14ac:dyDescent="0.2">
      <c r="B126" s="24"/>
      <c r="E126" s="24"/>
    </row>
    <row r="130" spans="2:6" x14ac:dyDescent="0.2">
      <c r="B130" s="24"/>
      <c r="E130" s="24"/>
      <c r="F130" s="24"/>
    </row>
  </sheetData>
  <mergeCells count="7">
    <mergeCell ref="B81:C81"/>
    <mergeCell ref="B37:C37"/>
    <mergeCell ref="B47:C47"/>
    <mergeCell ref="B56:C56"/>
    <mergeCell ref="B58:C58"/>
    <mergeCell ref="B72:C72"/>
    <mergeCell ref="B76:C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2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'2019'!Udskriftsområde</vt:lpstr>
      <vt:lpstr>'2023'!Udskriftsområde</vt:lpstr>
    </vt:vector>
  </TitlesOfParts>
  <Company>U-landsforeningen Svalerne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Roed Kristensen</dc:creator>
  <cp:lastModifiedBy>Poul Roed Kristensen</cp:lastModifiedBy>
  <cp:lastPrinted>2024-01-03T21:19:55Z</cp:lastPrinted>
  <dcterms:created xsi:type="dcterms:W3CDTF">2010-01-21T13:59:06Z</dcterms:created>
  <dcterms:modified xsi:type="dcterms:W3CDTF">2024-03-21T15:41:53Z</dcterms:modified>
</cp:coreProperties>
</file>